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Настройка" sheetId="1" r:id="rId1"/>
    <sheet name="ИндивидуаленОтчет" sheetId="2" r:id="rId2"/>
    <sheet name="Data" sheetId="3" state="hidden" r:id="rId3"/>
  </sheets>
  <definedNames>
    <definedName name="Fakultet">'Data'!$A$2:$A$5</definedName>
    <definedName name="katedri2">'Data'!$A$2:$B$5</definedName>
    <definedName name="OLE_LINK1" localSheetId="1">'ИндивидуаленОтчет'!$A$11</definedName>
    <definedName name="razdel6">'Data'!$A$86:$B$88</definedName>
    <definedName name="razdel62">'Data'!$A$109:$C$116</definedName>
    <definedName name="razdel62f">'Data'!$A$109:$A$116</definedName>
    <definedName name="razdel6f">'Data'!$A$86:$A$88</definedName>
    <definedName name="tablica221">'Data'!$A$91:$C$93</definedName>
    <definedName name="tablica221f">'Data'!$A$91:$A$93</definedName>
    <definedName name="tablica311">'Data'!$A$37:$B$40</definedName>
    <definedName name="tablica312b">'Data'!$A$43:$B$46</definedName>
    <definedName name="tablica321">'Data'!$A$50:$B$53</definedName>
    <definedName name="tablica33">'Data'!$A$56:$B$59</definedName>
    <definedName name="tablica33f">'Data'!$A$56:$A$59</definedName>
    <definedName name="tablica34">'Data'!$A$64:$B$68</definedName>
    <definedName name="tablica361">'Data'!$A$73:$B$76</definedName>
    <definedName name="tablica37">'Data'!$A$80:$B$84</definedName>
    <definedName name="tablica37f">'Data'!$A$80:$A$84</definedName>
    <definedName name="tablica441">'Data'!$A$95:$B$102</definedName>
    <definedName name="tablica441f">'Data'!$A$95:$A$102</definedName>
    <definedName name="tablica442">'Data'!$A$104:$B$106</definedName>
    <definedName name="tablica442f">'Data'!$A$104:$A$106</definedName>
    <definedName name="tablica51">'Data'!$A$119:$B$141</definedName>
    <definedName name="tablica51f">'Data'!$A$119:$A$141</definedName>
    <definedName name="tablicaxxl">'Data'!$B$144:$B$147</definedName>
    <definedName name="КИУ">'Data'!$B$27:$B$29</definedName>
    <definedName name="ФММ">'Data'!$B$17:$B$21</definedName>
    <definedName name="ФПТБ">'Data'!$B$22:$B$26</definedName>
    <definedName name="ФСО">'Data'!$B$13:$B$16</definedName>
    <definedName name="ФФ">'Data'!$B$9:$B$12</definedName>
  </definedNames>
  <calcPr fullCalcOnLoad="1"/>
</workbook>
</file>

<file path=xl/comments2.xml><?xml version="1.0" encoding="utf-8"?>
<comments xmlns="http://schemas.openxmlformats.org/spreadsheetml/2006/main">
  <authors>
    <author>yuriy</author>
  </authors>
  <commentList>
    <comment ref="F72" authorId="0">
      <text>
        <r>
          <rPr>
            <sz val="9"/>
            <rFont val="Tahoma"/>
            <family val="2"/>
          </rPr>
          <t xml:space="preserve"> - ПБ    -  За учебни дисциплини, изнасяни пред студенти в ОКС „Професионален бакалавър”
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73" authorId="0">
      <text>
        <r>
          <rPr>
            <sz val="9"/>
            <rFont val="Tahoma"/>
            <family val="2"/>
          </rPr>
          <t xml:space="preserve"> - ПБ    -  За учебни дисциплини, изнасяни пред студенти в ОКС „Професионален бакалавър”
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74" authorId="0">
      <text>
        <r>
          <rPr>
            <sz val="9"/>
            <rFont val="Tahoma"/>
            <family val="2"/>
          </rPr>
          <t xml:space="preserve">- ПБ    -  За учебни дисциплини, изнасяни пред студенти в ОКС „Професионален бакалавър”
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75" authorId="0">
      <text>
        <r>
          <rPr>
            <sz val="9"/>
            <rFont val="Tahoma"/>
            <family val="2"/>
          </rPr>
          <t xml:space="preserve">- ПБ    -  За учебни дисциплини, изнасяни пред студенти в ОКС „Професионален бакалавър”
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G88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89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90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91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</commentList>
</comments>
</file>

<file path=xl/sharedStrings.xml><?xml version="1.0" encoding="utf-8"?>
<sst xmlns="http://schemas.openxmlformats.org/spreadsheetml/2006/main" count="490" uniqueCount="372">
  <si>
    <t>СТОПАНСКА АКАДЕМИЯ „Д. А. ЦЕНОВ” - СВИЩОВ</t>
  </si>
  <si>
    <t>„Учебно-преподавателска дейност”</t>
  </si>
  <si>
    <t>А. Самооценка по емпирични критерии</t>
  </si>
  <si>
    <t>Учебна година</t>
  </si>
  <si>
    <t>Отчет натовареност</t>
  </si>
  <si>
    <t>Норматив натовареност</t>
  </si>
  <si>
    <t>Процентно изпълнение</t>
  </si>
  <si>
    <t>Атестационни точки</t>
  </si>
  <si>
    <t>а/ АЗ</t>
  </si>
  <si>
    <t>б/ ИАЗ</t>
  </si>
  <si>
    <t>Обща сума на точките за учебните години:</t>
  </si>
  <si>
    <t>Брой учебни години (3 год.):</t>
  </si>
  <si>
    <t>Дисциплина</t>
  </si>
  <si>
    <t>Краен бал</t>
  </si>
  <si>
    <t>Точки</t>
  </si>
  <si>
    <t>ime</t>
  </si>
  <si>
    <t>kod</t>
  </si>
  <si>
    <t>dekan</t>
  </si>
  <si>
    <t>Факултет "Финанси"</t>
  </si>
  <si>
    <t>ФФ</t>
  </si>
  <si>
    <t>Доц. д-р РУМЯНА ЛИЛОВА</t>
  </si>
  <si>
    <t>Факултет "Стопанска отчетност"</t>
  </si>
  <si>
    <t>ФСО</t>
  </si>
  <si>
    <t>Факултет "Мениджмънт и маркетинг"</t>
  </si>
  <si>
    <t>ФММ</t>
  </si>
  <si>
    <t>Факултет "Производствен и търговски бизнес"</t>
  </si>
  <si>
    <t>ФПТБ</t>
  </si>
  <si>
    <t xml:space="preserve">Колеж по икономика и управление </t>
  </si>
  <si>
    <t>КИУ</t>
  </si>
  <si>
    <t>Доц. д-р ЕМИЛ МИХАЙЛОВ</t>
  </si>
  <si>
    <t>id</t>
  </si>
  <si>
    <t>fakultet</t>
  </si>
  <si>
    <t>fakultet_kod</t>
  </si>
  <si>
    <t>rakovoditel</t>
  </si>
  <si>
    <t>КФК</t>
  </si>
  <si>
    <t>Финанси</t>
  </si>
  <si>
    <t>Доц. д-р СТЕФАН СИМЕОНОВ</t>
  </si>
  <si>
    <t>КЗСД</t>
  </si>
  <si>
    <t>Доц. д-р КОЛЬО КОЛЕВ</t>
  </si>
  <si>
    <t>КОТИ</t>
  </si>
  <si>
    <t>Проф. д-р ЛЮБЕН КИРЕВ</t>
  </si>
  <si>
    <t>КСО</t>
  </si>
  <si>
    <t>Стопанска отчетност</t>
  </si>
  <si>
    <t>Доц. д-р МИХАИЛ ДОЧЕВ</t>
  </si>
  <si>
    <t>КАСД</t>
  </si>
  <si>
    <t>Доц. д-р МИХАИЛ МИХАЙЛОВ</t>
  </si>
  <si>
    <t>КМС</t>
  </si>
  <si>
    <t>Доц. д-р ВЕЛИЧКО ПЕТРОВ</t>
  </si>
  <si>
    <t>КМЕ</t>
  </si>
  <si>
    <t>Мениджмънт и маркетинг</t>
  </si>
  <si>
    <t>Проф. д-р ик.н. КАМЕН КАМЕНОВ</t>
  </si>
  <si>
    <t>КМА</t>
  </si>
  <si>
    <t>Доц. д-р ТОДОР КРЪСТЕВИЧ</t>
  </si>
  <si>
    <t>КСП</t>
  </si>
  <si>
    <t>Доц. д-р НЕДЕЛЧО МИТЕВ</t>
  </si>
  <si>
    <t>КМИО</t>
  </si>
  <si>
    <t>Проф. д-р ик.н. АТАНАС ДАМЯНОВ</t>
  </si>
  <si>
    <t>КБИ</t>
  </si>
  <si>
    <t>Доц. д-р РУМЕН ВЪРБАНОВ</t>
  </si>
  <si>
    <t>КИБП</t>
  </si>
  <si>
    <t>Производствен и търговски бизнес</t>
  </si>
  <si>
    <t>Доц. д-р ПЕТЪР КЪНЕВ</t>
  </si>
  <si>
    <t>КАИ</t>
  </si>
  <si>
    <t>Доц. д-р ГЕОРГИ ГЕРГАНОВ</t>
  </si>
  <si>
    <t>КТБ</t>
  </si>
  <si>
    <t>Доц. д-р МАРИЯНА БОЖИНОВА</t>
  </si>
  <si>
    <t>КИФС</t>
  </si>
  <si>
    <t>Доц. д-р ИВАН ВЪРБАНОВ</t>
  </si>
  <si>
    <t>КПНЕ</t>
  </si>
  <si>
    <t>Доц. д-р ТИХОМИР ЛИЧЕВ</t>
  </si>
  <si>
    <t>КИК</t>
  </si>
  <si>
    <t>Колеж по икономика и управление</t>
  </si>
  <si>
    <t>Гл. ас. д-р АНЕЛИЯ РАДУЛОВА</t>
  </si>
  <si>
    <t>КЧЕО</t>
  </si>
  <si>
    <t>Ст. преп. ВЕНЦИСЛАВ ДИКОВ</t>
  </si>
  <si>
    <t>КФКС</t>
  </si>
  <si>
    <t>Доц. д-р ХРИСТОФОР СТОЯНОВ</t>
  </si>
  <si>
    <t>ИНДИВИДУАЛЕН</t>
  </si>
  <si>
    <t>АТЕСТАЦИОНЕН ОТЧЕТ</t>
  </si>
  <si>
    <t>Област I</t>
  </si>
  <si>
    <t>Година на заповедта за атестиране:</t>
  </si>
  <si>
    <t>Таблица 3.1.1</t>
  </si>
  <si>
    <t>Изпълнение на аудитор­ната и извънаудиторната заетост</t>
  </si>
  <si>
    <t>(по отчет)</t>
  </si>
  <si>
    <t>Заповед N/дата</t>
  </si>
  <si>
    <t>Начален бал</t>
  </si>
  <si>
    <t>ОКС</t>
  </si>
  <si>
    <t>Б</t>
  </si>
  <si>
    <t>ПБ</t>
  </si>
  <si>
    <t>М</t>
  </si>
  <si>
    <t>M(Б)</t>
  </si>
  <si>
    <t>Общо стандартни страници за периода:</t>
  </si>
  <si>
    <r>
      <t xml:space="preserve">Продължителност на периода </t>
    </r>
    <r>
      <rPr>
        <b/>
        <sz val="8"/>
        <color indexed="8"/>
        <rFont val="Times New Roman"/>
        <family val="1"/>
      </rPr>
      <t>(3 или 5 години)</t>
    </r>
    <r>
      <rPr>
        <b/>
        <sz val="11"/>
        <color indexed="8"/>
        <rFont val="Times New Roman"/>
        <family val="1"/>
      </rPr>
      <t>:</t>
    </r>
  </si>
  <si>
    <t>Таблица № 3.2.1</t>
  </si>
  <si>
    <t xml:space="preserve">Стандартни страници (брой) </t>
  </si>
  <si>
    <t>Таблица 3.1.2b</t>
  </si>
  <si>
    <t>Корекция</t>
  </si>
  <si>
    <t>Общ брой точки:</t>
  </si>
  <si>
    <t>Използвани учебно-технически средства</t>
  </si>
  <si>
    <t>(описват се използваните учебно-технически средства от атестирания в лекции/семинарни занятия)</t>
  </si>
  <si>
    <r>
      <t xml:space="preserve">Стандартен </t>
    </r>
    <r>
      <rPr>
        <sz val="10"/>
        <color indexed="8"/>
        <rFont val="Times New Roman"/>
        <family val="1"/>
      </rPr>
      <t>– четене на лекции и водене на записки от студентите/следване на лекционния материал от асистента</t>
    </r>
  </si>
  <si>
    <r>
      <t xml:space="preserve">Иновативен – </t>
    </r>
    <r>
      <rPr>
        <sz val="10"/>
        <color indexed="8"/>
        <rFont val="Times New Roman"/>
        <family val="1"/>
      </rPr>
      <t xml:space="preserve">изнасяне на лекции/провеждане на семинарни занятия с използване на </t>
    </r>
    <r>
      <rPr>
        <b/>
        <i/>
        <sz val="10"/>
        <color indexed="8"/>
        <rFont val="Times New Roman"/>
        <family val="1"/>
      </rPr>
      <t>шрайбпроектор</t>
    </r>
  </si>
  <si>
    <r>
      <t xml:space="preserve">Иновативен – </t>
    </r>
    <r>
      <rPr>
        <sz val="10"/>
        <color indexed="8"/>
        <rFont val="Times New Roman"/>
        <family val="1"/>
      </rPr>
      <t xml:space="preserve">изнасяне на лекции/провеждане на семинарни занятия с използване на </t>
    </r>
    <r>
      <rPr>
        <b/>
        <i/>
        <sz val="10"/>
        <color indexed="8"/>
        <rFont val="Times New Roman"/>
        <family val="1"/>
      </rPr>
      <t>компютър</t>
    </r>
  </si>
  <si>
    <r>
      <t xml:space="preserve">Иновативен – </t>
    </r>
    <r>
      <rPr>
        <sz val="10"/>
        <color indexed="8"/>
        <rFont val="Times New Roman"/>
        <family val="1"/>
      </rPr>
      <t xml:space="preserve">изнасяне на лекции/провеждане на семинарни занятия с използване на </t>
    </r>
    <r>
      <rPr>
        <b/>
        <i/>
        <sz val="10"/>
        <color indexed="8"/>
        <rFont val="Times New Roman"/>
        <family val="1"/>
      </rPr>
      <t>мултимедийни системи (LCD-панел)</t>
    </r>
  </si>
  <si>
    <t>Брой ръководени дипломни работи</t>
  </si>
  <si>
    <t>Общо атестационни точки за периода:</t>
  </si>
  <si>
    <r>
      <t xml:space="preserve">Продължителност на периода </t>
    </r>
    <r>
      <rPr>
        <b/>
        <sz val="8"/>
        <color indexed="8"/>
        <rFont val="Times New Roman"/>
        <family val="1"/>
      </rPr>
      <t>(3 или по-малко години)</t>
    </r>
    <r>
      <rPr>
        <b/>
        <sz val="11"/>
        <color indexed="8"/>
        <rFont val="Times New Roman"/>
        <family val="1"/>
      </rPr>
      <t>:</t>
    </r>
  </si>
  <si>
    <t>Обективно няма възможност да води</t>
  </si>
  <si>
    <t>Брой ръководени</t>
  </si>
  <si>
    <t>дипломни работи</t>
  </si>
  <si>
    <t>над 10</t>
  </si>
  <si>
    <t>1-5</t>
  </si>
  <si>
    <t>6-10</t>
  </si>
  <si>
    <t>ККн</t>
  </si>
  <si>
    <t>Сума атестационни точки:</t>
  </si>
  <si>
    <t>На чужд език</t>
  </si>
  <si>
    <t>Катедра "Финанси и кредит"</t>
  </si>
  <si>
    <t>Катедра "Застраховане и социално дело"</t>
  </si>
  <si>
    <t>Катедра "Обща теория на икономиката"</t>
  </si>
  <si>
    <t>Катедра "Счетоводна отчетност"</t>
  </si>
  <si>
    <t>Катедра "Математика и статистика"</t>
  </si>
  <si>
    <t>Катедра "Мениджмънт"</t>
  </si>
  <si>
    <t>Катедра "Маркетинг"</t>
  </si>
  <si>
    <t>Катедра "Стратегическо планиране"</t>
  </si>
  <si>
    <t>Катедра "Международни икономически отношения"</t>
  </si>
  <si>
    <t>Катедра "Бизнес информатика"</t>
  </si>
  <si>
    <t>Катедра "Индустриален бизнес и предприемачество"</t>
  </si>
  <si>
    <t>Катедра "Аграрна икономика"</t>
  </si>
  <si>
    <t>Катедра "Правни науки и екология"</t>
  </si>
  <si>
    <t>Катедра "Икономика"</t>
  </si>
  <si>
    <t>Катедра "Чуждоезиково обучение"</t>
  </si>
  <si>
    <t>Катедра "Физическа култура и спорт"</t>
  </si>
  <si>
    <t>Таблица 3.3</t>
  </si>
  <si>
    <t>Брой рецензирани дипломни работи</t>
  </si>
  <si>
    <t>Учебен курс</t>
  </si>
  <si>
    <t>Общо теми</t>
  </si>
  <si>
    <t>Процент на обновяване</t>
  </si>
  <si>
    <t>Общ хорариум на курса</t>
  </si>
  <si>
    <t>Средно претеглен процент</t>
  </si>
  <si>
    <t>Сума(Σ):</t>
  </si>
  <si>
    <t>на обновяване</t>
  </si>
  <si>
    <t>Таблица 3.6.1</t>
  </si>
  <si>
    <t>Оценка</t>
  </si>
  <si>
    <t xml:space="preserve">Незадоволителна </t>
  </si>
  <si>
    <t>Задоволителна</t>
  </si>
  <si>
    <t>Добра</t>
  </si>
  <si>
    <t>Много добра</t>
  </si>
  <si>
    <t>СРЕДНО ЗА ОБЛАСТ I „УЧЕБНО-ПРЕПОДАВАТЕЛСКА ДЕЙНОСТ”</t>
  </si>
  <si>
    <t>Общ брой точки по критериите от област I:</t>
  </si>
  <si>
    <t>Брой оценени критерии:</t>
  </si>
  <si>
    <t>Средноаритметичен брой точки по област I:</t>
  </si>
  <si>
    <t>Коригиращ коефициент (с-но раздел VI на Методиката за атестиране):</t>
  </si>
  <si>
    <t>Коригиран брой точки по област I:</t>
  </si>
  <si>
    <t>Xабилитиран академичен състав</t>
  </si>
  <si>
    <t>Нехабилитиран академичен състав</t>
  </si>
  <si>
    <t>Нехабилитиран академичен състав с длъжност “преподавател” и “ст. преподавател”</t>
  </si>
  <si>
    <t>„Научно-изследователска дейност”</t>
  </si>
  <si>
    <t>Брой</t>
  </si>
  <si>
    <t>Сумарен бал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</si>
  <si>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в страната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</si>
  <si>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в чужбина</t>
    </r>
  </si>
  <si>
    <t>Област II</t>
  </si>
  <si>
    <t>Сума:</t>
  </si>
  <si>
    <t>Общо точки по показател 2.2.1:</t>
  </si>
  <si>
    <t>Вътрешно-академичен</t>
  </si>
  <si>
    <t>Национална програма</t>
  </si>
  <si>
    <t>Международна програма</t>
  </si>
  <si>
    <t>Общо точки по показател 2.2.2:</t>
  </si>
  <si>
    <t>Брой участия</t>
  </si>
  <si>
    <t>Общо точки по критерий 3:</t>
  </si>
  <si>
    <t>Придобито звание/степен</t>
  </si>
  <si>
    <t>Дата</t>
  </si>
  <si>
    <t>Общо точки по показател 2.4.1:</t>
  </si>
  <si>
    <t>Професор</t>
  </si>
  <si>
    <t>Доцент</t>
  </si>
  <si>
    <t>Старши асистент</t>
  </si>
  <si>
    <t>Доктор</t>
  </si>
  <si>
    <t>Доктор на науките</t>
  </si>
  <si>
    <t>Старши преподавател</t>
  </si>
  <si>
    <t xml:space="preserve">Главен асистент </t>
  </si>
  <si>
    <t>Вид научно ръководство</t>
  </si>
  <si>
    <t>Общо точки по показател 2.4.2:</t>
  </si>
  <si>
    <t>Ръководство на докторант с проведена защита на дисертация</t>
  </si>
  <si>
    <t>Ръководство на докторант, отписан с право на защита</t>
  </si>
  <si>
    <t>Ръководство на докторант, отписан без право на защита</t>
  </si>
  <si>
    <t>СРЕДНО ЗА ОБЛАСТ II „НАУЧНО-ИЗСЛЕДОВАТЕЛСКА ДЕЙНОСТ”</t>
  </si>
  <si>
    <t>Общ брой точки по критериите от област II:</t>
  </si>
  <si>
    <t>Средноаритметичен брой точки по област II:</t>
  </si>
  <si>
    <t>Xабилитиран академичен състав с научна степен  “доктор”/“доктор на икономическите науки”</t>
  </si>
  <si>
    <t>Нехабилитиран академичен състав с научна степен “доктор”</t>
  </si>
  <si>
    <t>Нехабилитирани академичен състав без научна степен с трудов стаж в СА от единадесет до петнадесет години</t>
  </si>
  <si>
    <t>Нехабилитирани академичен състав без научна степен с трудов стаж в СА над петнадесет години</t>
  </si>
  <si>
    <t>Област III</t>
  </si>
  <si>
    <r>
      <t>Признат брой точки по 1</t>
    </r>
    <r>
      <rPr>
        <b/>
        <vertAlign val="superscript"/>
        <sz val="10"/>
        <color indexed="8"/>
        <rFont val="Times New Roman"/>
        <family val="1"/>
      </rPr>
      <t>-ви</t>
    </r>
    <r>
      <rPr>
        <b/>
        <sz val="10"/>
        <color indexed="8"/>
        <rFont val="Times New Roman"/>
        <family val="1"/>
      </rPr>
      <t xml:space="preserve"> критерий:</t>
    </r>
  </si>
  <si>
    <t>Ректор</t>
  </si>
  <si>
    <t xml:space="preserve">Зам. Ректор </t>
  </si>
  <si>
    <t>Ръководител на катедра</t>
  </si>
  <si>
    <t>Председател на ОС на СА „Д. А. Ценов”</t>
  </si>
  <si>
    <t>Член на Академичен съвет</t>
  </si>
  <si>
    <t>Главен редактор на издание/списание на СА „Д. А. Ценов”</t>
  </si>
  <si>
    <t>Ръководител на магистърска програма</t>
  </si>
  <si>
    <t>Научен секретар на катедра</t>
  </si>
  <si>
    <t>Секретар УМОА на магистърска програма</t>
  </si>
  <si>
    <t>Член на Факултетен съвет</t>
  </si>
  <si>
    <t>Член на Факултетна атестационна комисия</t>
  </si>
  <si>
    <t>Главен редактор на външно за СА „Д. А. Ценов” издание/списание</t>
  </si>
  <si>
    <t>Член на редколегия на външно за СА „Д. А. Ценов” научно издание/списание</t>
  </si>
  <si>
    <t>Общ брой точки по критериите от област III:</t>
  </si>
  <si>
    <t>КАЛКУЛАЦИЯ</t>
  </si>
  <si>
    <t>ТОЧКИ</t>
  </si>
  <si>
    <t>Признат  брой точки по област I:</t>
  </si>
  <si>
    <t>Признат  брой точки по област II:</t>
  </si>
  <si>
    <t>Признат  брой точки по област III:</t>
  </si>
  <si>
    <t>Съставил:</t>
  </si>
  <si>
    <t>Свищов</t>
  </si>
  <si>
    <t>ОТ</t>
  </si>
  <si>
    <t>Звание, степен, име презиме и фамилия:</t>
  </si>
  <si>
    <t>Продължителност на атестационния период:</t>
  </si>
  <si>
    <t xml:space="preserve">Обективна възможност на атестирания за ръководство на докторанти: </t>
  </si>
  <si>
    <t>Факултет:</t>
  </si>
  <si>
    <t>Катедра:</t>
  </si>
  <si>
    <t>Нехабилитирани академичен състав без научна степен с трудов стаж в СА до три години</t>
  </si>
  <si>
    <t>Нехабилитирани академичен състав без научна степен с трудов стаж в СА от три до пет години</t>
  </si>
  <si>
    <t>Нехабилитирани академичен състав без научна степен с трудов стаж в СА от шест до десет години</t>
  </si>
  <si>
    <t>Групa академичен състав към която принадлежи атестирания:</t>
  </si>
  <si>
    <t>Преработено по време на атестационния период</t>
  </si>
  <si>
    <t>Коригиращ коефициент</t>
  </si>
  <si>
    <t>……….……………………………………………………..</t>
  </si>
  <si>
    <t>Други (съгласно приложен списък):</t>
  </si>
  <si>
    <t>Дисциплина с авторско електронно учебно помагало</t>
  </si>
  <si>
    <t>Дисциплина с авторско учебно помагало (хартиен носител)</t>
  </si>
  <si>
    <t>Б. Оценка по неемпирични критерии</t>
  </si>
  <si>
    <t>Участие в научни форуми в чужбина</t>
  </si>
  <si>
    <t>По програма на ЕС</t>
  </si>
  <si>
    <t>Точки по показател 1.4:</t>
  </si>
  <si>
    <t>Проекти по национални програми</t>
  </si>
  <si>
    <t>Коригиращ
коефициент</t>
  </si>
  <si>
    <t>Монографии</t>
  </si>
  <si>
    <t>Студии</t>
  </si>
  <si>
    <t>Статии</t>
  </si>
  <si>
    <t>Научни доклади и рецензии</t>
  </si>
  <si>
    <t>Вид на научно-изследователския проект</t>
  </si>
  <si>
    <t>Брой точки за показател 1.2:</t>
  </si>
  <si>
    <t>Общо за 1.3.2:</t>
  </si>
  <si>
    <t>Стандартни страници
(брой)</t>
  </si>
  <si>
    <r>
      <t>Корекционен коефициент (за нехабилитиран академичен състав (КК</t>
    </r>
    <r>
      <rPr>
        <b/>
        <vertAlign val="subscript"/>
        <sz val="9"/>
        <color indexed="8"/>
        <rFont val="Times New Roman"/>
        <family val="1"/>
      </rPr>
      <t>нх</t>
    </r>
    <r>
      <rPr>
        <b/>
        <sz val="9"/>
        <color indexed="8"/>
        <rFont val="Times New Roman"/>
        <family val="1"/>
      </rPr>
      <t xml:space="preserve">=1,5), за хабилитиран академичен състав (ККх=1) : </t>
    </r>
  </si>
  <si>
    <t>Няма придобито звание/степен през периода</t>
  </si>
  <si>
    <t>Лектор/Титуляр</t>
  </si>
  <si>
    <t>Обновени/ нови теми</t>
  </si>
  <si>
    <r>
      <t xml:space="preserve">Средногодишен брой стандартни страници </t>
    </r>
    <r>
      <rPr>
        <b/>
        <sz val="8"/>
        <color indexed="8"/>
        <rFont val="Times New Roman"/>
        <family val="1"/>
      </rPr>
      <t>(общо стр. / прод. на периода)</t>
    </r>
    <r>
      <rPr>
        <b/>
        <sz val="11"/>
        <color indexed="8"/>
        <rFont val="Times New Roman"/>
        <family val="1"/>
      </rPr>
      <t>:</t>
    </r>
  </si>
  <si>
    <r>
      <t>Средноаритметичен брой точки за 3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0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1.3.1 + точки от п-л 1.3.2)/2]</t>
    </r>
    <r>
      <rPr>
        <b/>
        <sz val="10"/>
        <color indexed="8"/>
        <rFont val="Times New Roman"/>
        <family val="1"/>
      </rPr>
      <t>:</t>
    </r>
  </si>
  <si>
    <r>
      <t>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>:</t>
    </r>
  </si>
  <si>
    <r>
      <t>Средноаритметичен брой точки за 1</t>
    </r>
    <r>
      <rPr>
        <b/>
        <vertAlign val="superscript"/>
        <sz val="11"/>
        <color indexed="8"/>
        <rFont val="Times New Roman"/>
        <family val="1"/>
      </rPr>
      <t>-ви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0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1.1.1 + точки от п-л 1.1.2)/2]</t>
    </r>
    <r>
      <rPr>
        <b/>
        <sz val="10"/>
        <color indexed="8"/>
        <rFont val="Times New Roman"/>
        <family val="1"/>
      </rPr>
      <t>:</t>
    </r>
  </si>
  <si>
    <t>Среден брой точки за учебна година (ред а + ред б)/2:</t>
  </si>
  <si>
    <r>
      <t>Брой точки за 4</t>
    </r>
    <r>
      <rPr>
        <b/>
        <vertAlign val="superscript"/>
        <sz val="11"/>
        <color indexed="8"/>
        <rFont val="Times New Roman"/>
        <family val="1"/>
      </rPr>
      <t>-</t>
    </r>
    <r>
      <rPr>
        <b/>
        <vertAlign val="superscript"/>
        <sz val="11"/>
        <color indexed="8"/>
        <rFont val="Times New Roman"/>
        <family val="1"/>
      </rPr>
      <t>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2"/>
        <color indexed="8"/>
        <rFont val="Times New Roman"/>
        <family val="1"/>
      </rPr>
      <t>:</t>
    </r>
  </si>
  <si>
    <r>
      <t>2</t>
    </r>
    <r>
      <rPr>
        <b/>
        <vertAlign val="superscript"/>
        <sz val="14"/>
        <rFont val="Times New Roman"/>
        <family val="1"/>
      </rPr>
      <t>-ри</t>
    </r>
    <r>
      <rPr>
        <b/>
        <sz val="14"/>
        <rFont val="Times New Roman"/>
        <family val="1"/>
      </rPr>
      <t xml:space="preserve"> Критерий:   </t>
    </r>
  </si>
  <si>
    <t>„Обновяване на учебно съдържание в преподаваните учебни курсове”</t>
  </si>
  <si>
    <r>
      <t>1</t>
    </r>
    <r>
      <rPr>
        <b/>
        <vertAlign val="superscript"/>
        <sz val="14"/>
        <rFont val="Times New Roman"/>
        <family val="1"/>
      </rPr>
      <t>-ви</t>
    </r>
    <r>
      <rPr>
        <b/>
        <sz val="14"/>
        <rFont val="Times New Roman"/>
        <family val="1"/>
      </rPr>
      <t xml:space="preserve"> Критерий:</t>
    </r>
  </si>
  <si>
    <t xml:space="preserve"> „Процентно изпълнение на нормативите за учебна заетост”</t>
  </si>
  <si>
    <r>
      <t>3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</t>
    </r>
  </si>
  <si>
    <t xml:space="preserve"> "Ниво на осигуреност на титуляра/асистента с авторова учебна литература, написана индивидуално или в съавторство"</t>
  </si>
  <si>
    <r>
      <t>4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 </t>
    </r>
  </si>
  <si>
    <t>„Използване на учебно-технически средства в учебно-преподавателската работа”</t>
  </si>
  <si>
    <t>Показател 1.1.2:</t>
  </si>
  <si>
    <t>Показател 1.1.1:</t>
  </si>
  <si>
    <t xml:space="preserve"> Показател 1.3.1:</t>
  </si>
  <si>
    <t>Показател 1.3.2:</t>
  </si>
  <si>
    <r>
      <t>5</t>
    </r>
    <r>
      <rPr>
        <b/>
        <vertAlign val="superscript"/>
        <sz val="14"/>
        <rFont val="Times New Roman"/>
        <family val="1"/>
      </rPr>
      <t xml:space="preserve">-ти </t>
    </r>
    <r>
      <rPr>
        <b/>
        <sz val="14"/>
        <rFont val="Times New Roman"/>
        <family val="1"/>
      </rPr>
      <t>Критерий:</t>
    </r>
  </si>
  <si>
    <r>
      <t>6</t>
    </r>
    <r>
      <rPr>
        <b/>
        <vertAlign val="superscript"/>
        <sz val="14"/>
        <rFont val="Times New Roman"/>
        <family val="1"/>
      </rPr>
      <t xml:space="preserve">-ти </t>
    </r>
    <r>
      <rPr>
        <b/>
        <sz val="14"/>
        <rFont val="Times New Roman"/>
        <family val="1"/>
      </rPr>
      <t xml:space="preserve">Критерий: </t>
    </r>
  </si>
  <si>
    <r>
      <t>Брой точки за 6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критерий:</t>
    </r>
  </si>
  <si>
    <r>
      <t xml:space="preserve"> 7</t>
    </r>
    <r>
      <rPr>
        <b/>
        <vertAlign val="superscript"/>
        <sz val="14"/>
        <rFont val="Times New Roman"/>
        <family val="1"/>
      </rPr>
      <t>-ми</t>
    </r>
    <r>
      <rPr>
        <b/>
        <sz val="14"/>
        <rFont val="Times New Roman"/>
        <family val="1"/>
      </rPr>
      <t xml:space="preserve"> Критерий: </t>
    </r>
  </si>
  <si>
    <t>Протокол №/дата от Решението на Катедрения съвет</t>
  </si>
  <si>
    <r>
      <t xml:space="preserve"> 8</t>
    </r>
    <r>
      <rPr>
        <b/>
        <vertAlign val="superscript"/>
        <sz val="14"/>
        <rFont val="Times New Roman"/>
        <family val="1"/>
      </rPr>
      <t xml:space="preserve">-ми </t>
    </r>
    <r>
      <rPr>
        <b/>
        <sz val="14"/>
        <rFont val="Times New Roman"/>
        <family val="1"/>
      </rPr>
      <t xml:space="preserve">Критерий: </t>
    </r>
  </si>
  <si>
    <t>„Научни публикации”</t>
  </si>
  <si>
    <r>
      <t xml:space="preserve"> 1</t>
    </r>
    <r>
      <rPr>
        <b/>
        <vertAlign val="superscript"/>
        <sz val="14"/>
        <rFont val="Times New Roman"/>
        <family val="1"/>
      </rPr>
      <t>-ви</t>
    </r>
    <r>
      <rPr>
        <b/>
        <sz val="14"/>
        <rFont val="Times New Roman"/>
        <family val="1"/>
      </rPr>
      <t xml:space="preserve"> Критерий: </t>
    </r>
  </si>
  <si>
    <t>„Научно-изследователски проекти”</t>
  </si>
  <si>
    <r>
      <t xml:space="preserve"> 2</t>
    </r>
    <r>
      <rPr>
        <b/>
        <vertAlign val="superscript"/>
        <sz val="14"/>
        <rFont val="Times New Roman"/>
        <family val="1"/>
      </rPr>
      <t>-ри</t>
    </r>
    <r>
      <rPr>
        <b/>
        <sz val="14"/>
        <rFont val="Times New Roman"/>
        <family val="1"/>
      </rPr>
      <t xml:space="preserve"> Критерий: </t>
    </r>
  </si>
  <si>
    <t>Показател 2.2.1:</t>
  </si>
  <si>
    <t>Показател 2.2.2:</t>
  </si>
  <si>
    <r>
      <t>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 2.2.1 + точки от п-л  2.2.2)]</t>
    </r>
    <r>
      <rPr>
        <b/>
        <sz val="8"/>
        <color indexed="8"/>
        <rFont val="Times New Roman"/>
        <family val="1"/>
      </rPr>
      <t>:</t>
    </r>
  </si>
  <si>
    <t>„Постижения в научното развитие”</t>
  </si>
  <si>
    <r>
      <t xml:space="preserve"> 4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 </t>
    </r>
  </si>
  <si>
    <t>„Индивидуално развитие”</t>
  </si>
  <si>
    <t>Показател 2.4.1:</t>
  </si>
  <si>
    <t>„Научно ръководство на докторанти”</t>
  </si>
  <si>
    <t>Показател 2.4.2:</t>
  </si>
  <si>
    <r>
      <t>Средноаритметичен брой точки за 4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 2.4.1 + точки от п-л 2.4.2)/2]</t>
    </r>
    <r>
      <rPr>
        <b/>
        <sz val="8"/>
        <color indexed="8"/>
        <rFont val="Times New Roman"/>
        <family val="1"/>
      </rPr>
      <t>:</t>
    </r>
  </si>
  <si>
    <t>ОБЛАСТ</t>
  </si>
  <si>
    <t>ОЦЕНКА В СЪОТВЕТНАТА ОБЛАСТ</t>
  </si>
  <si>
    <t>„Обща индивидуална атестационна оценка”</t>
  </si>
  <si>
    <t>Обща индивидуална атестационна оценка в бални точки:</t>
  </si>
  <si>
    <r>
      <t xml:space="preserve">„Преобладаващ </t>
    </r>
    <r>
      <rPr>
        <b/>
        <i/>
        <sz val="12"/>
        <color indexed="8"/>
        <rFont val="Times New Roman"/>
        <family val="1"/>
      </rPr>
      <t xml:space="preserve">метод </t>
    </r>
    <r>
      <rPr>
        <b/>
        <sz val="12"/>
        <color indexed="8"/>
        <rFont val="Times New Roman"/>
        <family val="1"/>
      </rPr>
      <t>за провеждане на лекции/семинарни занятия”</t>
    </r>
  </si>
  <si>
    <r>
      <t xml:space="preserve">„Степен на </t>
    </r>
    <r>
      <rPr>
        <b/>
        <i/>
        <sz val="12"/>
        <color indexed="8"/>
        <rFont val="Times New Roman"/>
        <family val="1"/>
      </rPr>
      <t>обновяване</t>
    </r>
    <r>
      <rPr>
        <b/>
        <sz val="12"/>
        <color indexed="8"/>
        <rFont val="Times New Roman"/>
        <family val="1"/>
      </rPr>
      <t xml:space="preserve"> на учебните курсове”</t>
    </r>
  </si>
  <si>
    <t>Брой точки за показател 1.3.1:</t>
  </si>
  <si>
    <r>
      <t xml:space="preserve">Среден брой точки по показател 1.1.1 </t>
    </r>
    <r>
      <rPr>
        <b/>
        <sz val="8"/>
        <color indexed="8"/>
        <rFont val="Times New Roman"/>
        <family val="1"/>
      </rPr>
      <t>(обща сума/бр. год.)</t>
    </r>
    <r>
      <rPr>
        <b/>
        <sz val="11"/>
        <color indexed="8"/>
        <rFont val="Times New Roman"/>
        <family val="1"/>
      </rPr>
      <t>:</t>
    </r>
  </si>
  <si>
    <r>
      <t>Брой точки за 5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Критерий:</t>
    </r>
  </si>
  <si>
    <r>
      <t>Общо точки за 1</t>
    </r>
    <r>
      <rPr>
        <b/>
        <vertAlign val="superscript"/>
        <sz val="10"/>
        <color indexed="8"/>
        <rFont val="Times New Roman"/>
        <family val="1"/>
      </rPr>
      <t>-ви</t>
    </r>
    <r>
      <rPr>
        <b/>
        <sz val="10"/>
        <color indexed="8"/>
        <rFont val="Times New Roman"/>
        <family val="1"/>
      </rPr>
      <t xml:space="preserve"> Критерий:</t>
    </r>
  </si>
  <si>
    <r>
      <t>Корекционен коефициент (за нехабилитиран академичен състав (КК</t>
    </r>
    <r>
      <rPr>
        <b/>
        <vertAlign val="subscript"/>
        <sz val="9"/>
        <color indexed="8"/>
        <rFont val="Times New Roman"/>
        <family val="1"/>
      </rPr>
      <t>нх</t>
    </r>
    <r>
      <rPr>
        <b/>
        <sz val="9"/>
        <color indexed="8"/>
        <rFont val="Times New Roman"/>
        <family val="1"/>
      </rPr>
      <t xml:space="preserve">=1,5), за хабилитиран академичен състав (ККх=1): </t>
    </r>
  </si>
  <si>
    <t>Общо сумарен бал за 1-ви Критерий:</t>
  </si>
  <si>
    <t>Диплом/Заповед - №/дата</t>
  </si>
  <si>
    <t>Показател 1.2.1:</t>
  </si>
  <si>
    <r>
      <t>„</t>
    </r>
    <r>
      <rPr>
        <b/>
        <i/>
        <sz val="12"/>
        <color indexed="8"/>
        <rFont val="Times New Roman"/>
        <family val="1"/>
      </rPr>
      <t>Брой учебни дисциплини</t>
    </r>
    <r>
      <rPr>
        <b/>
        <sz val="12"/>
        <color indexed="8"/>
        <rFont val="Times New Roman"/>
        <family val="1"/>
      </rPr>
      <t xml:space="preserve"> водени като лектор (титуляр или сътитуляр), ръководител на семинарни занятия, консултант и/или преподавател пред студенти от ОКС „Професионален бакалавър”, „Бакалавър” и „Магистър” на средногодишна база, за последните </t>
    </r>
    <r>
      <rPr>
        <b/>
        <i/>
        <sz val="12"/>
        <color indexed="8"/>
        <rFont val="Times New Roman"/>
        <family val="1"/>
      </rPr>
      <t>три академични учебни години</t>
    </r>
    <r>
      <rPr>
        <b/>
        <sz val="12"/>
        <color indexed="8"/>
        <rFont val="Times New Roman"/>
        <family val="1"/>
      </rPr>
      <t>"</t>
    </r>
  </si>
  <si>
    <r>
      <t>„</t>
    </r>
    <r>
      <rPr>
        <b/>
        <i/>
        <sz val="12"/>
        <color indexed="8"/>
        <rFont val="Times New Roman"/>
        <family val="1"/>
      </rPr>
      <t>Процентно изпълнение</t>
    </r>
    <r>
      <rPr>
        <b/>
        <sz val="12"/>
        <color indexed="8"/>
        <rFont val="Times New Roman"/>
        <family val="1"/>
      </rPr>
      <t xml:space="preserve"> на нормативите за аудиторна и извънаудиторна заетост, </t>
    </r>
    <r>
      <rPr>
        <b/>
        <i/>
        <sz val="12"/>
        <color indexed="8"/>
        <rFont val="Times New Roman"/>
        <family val="1"/>
      </rPr>
      <t>на средногодишна база</t>
    </r>
    <r>
      <rPr>
        <b/>
        <sz val="12"/>
        <color indexed="8"/>
        <rFont val="Times New Roman"/>
        <family val="1"/>
      </rPr>
      <t xml:space="preserve">, за последните </t>
    </r>
    <r>
      <rPr>
        <b/>
        <i/>
        <sz val="12"/>
        <color indexed="8"/>
        <rFont val="Times New Roman"/>
        <family val="1"/>
      </rPr>
      <t>три академични учебни години</t>
    </r>
    <r>
      <rPr>
        <b/>
        <sz val="12"/>
        <color indexed="8"/>
        <rFont val="Times New Roman"/>
        <family val="1"/>
      </rPr>
      <t>”</t>
    </r>
  </si>
  <si>
    <t>Участие с по-малко от две коли</t>
  </si>
  <si>
    <t>„Оценка на учебно-преподавателската работа от катедрата”</t>
  </si>
  <si>
    <t>Показател 1.6.1:</t>
  </si>
  <si>
    <t>Показател 1.5.1:</t>
  </si>
  <si>
    <t>Показател 1.4.1:</t>
  </si>
  <si>
    <t>Показател 1.7.1:</t>
  </si>
  <si>
    <t>„Оценка от катедрени обсъждания на учебно-преподавателската работа”</t>
  </si>
  <si>
    <t>„Оценка от проучвания на удовлетвореността на студентите от качеството на обучението”</t>
  </si>
  <si>
    <t>Показател 1.8.1:</t>
  </si>
  <si>
    <t>„Оценка от проучвания на удовлетвореността на студентите от качеството на обучение”</t>
  </si>
  <si>
    <t>Показател 2.1.1:</t>
  </si>
  <si>
    <t>Измерител</t>
  </si>
  <si>
    <r>
      <t>„</t>
    </r>
    <r>
      <rPr>
        <b/>
        <i/>
        <sz val="12"/>
        <color indexed="8"/>
        <rFont val="Times New Roman"/>
        <family val="1"/>
      </rPr>
      <t>Разработени и одобрени</t>
    </r>
    <r>
      <rPr>
        <b/>
        <sz val="12"/>
        <color indexed="8"/>
        <rFont val="Times New Roman"/>
        <family val="1"/>
      </rPr>
      <t xml:space="preserve"> научно-изследователски проекти”</t>
    </r>
  </si>
  <si>
    <r>
      <t xml:space="preserve">„Разработени, но неодобрени научно-изследователски проекти или проекти в </t>
    </r>
    <r>
      <rPr>
        <b/>
        <i/>
        <sz val="12"/>
        <color indexed="8"/>
        <rFont val="Times New Roman"/>
        <family val="1"/>
      </rPr>
      <t>процедура на одобряване</t>
    </r>
    <r>
      <rPr>
        <b/>
        <sz val="12"/>
        <color indexed="8"/>
        <rFont val="Times New Roman"/>
        <family val="1"/>
      </rPr>
      <t>”</t>
    </r>
  </si>
  <si>
    <t>Проекти по международни програми</t>
  </si>
  <si>
    <t>Вътрешноакадемични проекти</t>
  </si>
  <si>
    <t>Забележка:</t>
  </si>
  <si>
    <t>Учебник/учебно пособие/монография/учебни помагала</t>
  </si>
  <si>
    <r>
      <t>„</t>
    </r>
    <r>
      <rPr>
        <b/>
        <i/>
        <sz val="12"/>
        <color indexed="8"/>
        <rFont val="Times New Roman"/>
        <family val="1"/>
      </rPr>
      <t>Осигуреност</t>
    </r>
    <r>
      <rPr>
        <b/>
        <sz val="12"/>
        <color indexed="8"/>
        <rFont val="Times New Roman"/>
        <family val="1"/>
      </rPr>
      <t xml:space="preserve"> на дисциплините с авторски учебници, учебни пособия, монографии и учебни помагала”</t>
    </r>
  </si>
  <si>
    <t>Дисциплина с авторски учебник/учебно пособие/монография (хартиен носител)</t>
  </si>
  <si>
    <t xml:space="preserve"> „Участие в научни форуми”</t>
  </si>
  <si>
    <r>
      <t xml:space="preserve"> 3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</t>
    </r>
  </si>
  <si>
    <t>Показател 2.3.1:</t>
  </si>
  <si>
    <r>
      <t>„</t>
    </r>
    <r>
      <rPr>
        <b/>
        <i/>
        <sz val="12"/>
        <color indexed="8"/>
        <rFont val="Times New Roman"/>
        <family val="1"/>
      </rPr>
      <t>Участие</t>
    </r>
    <r>
      <rPr>
        <b/>
        <sz val="12"/>
        <color indexed="8"/>
        <rFont val="Times New Roman"/>
        <family val="1"/>
      </rPr>
      <t xml:space="preserve"> в научни форуми”</t>
    </r>
  </si>
  <si>
    <t>Участие с по-малко от една кола</t>
  </si>
  <si>
    <t xml:space="preserve"> „Ръководени дипломни работи в ОКС "Магистър”</t>
  </si>
  <si>
    <t>„Ръководени дипломни работи в ОКС "Магистър”</t>
  </si>
  <si>
    <t>„Рецензирани дипломни работи в ОКС "Магистър”</t>
  </si>
  <si>
    <r>
      <t xml:space="preserve">За удостоверяване на посочените данни по показатели 2.2.1 и 2.2.2 към индивидуалния атестационен отчет се прилага списък с наименованията и означенията на проектите (идентификационни кодове). Списъкът се оформя като </t>
    </r>
    <r>
      <rPr>
        <b/>
        <sz val="11"/>
        <color indexed="8"/>
        <rFont val="Calibri"/>
        <family val="2"/>
      </rPr>
      <t>Приложение № 2.2 "Научно-изследователски проекти"</t>
    </r>
    <r>
      <rPr>
        <sz val="11"/>
        <color theme="1"/>
        <rFont val="Calibri"/>
        <family val="2"/>
      </rPr>
      <t xml:space="preserve">. </t>
    </r>
  </si>
  <si>
    <t>„Административно-управленска и представителна дейност”</t>
  </si>
  <si>
    <t>„Заемана административно-управленска и/или представителна позиция/длъжност”</t>
  </si>
  <si>
    <t>Административно-управленска и/или представителна позиция/длъжност</t>
  </si>
  <si>
    <t>СРЕДНО ЗА ОБЛАСТ III „АДМИНИСТРАТИВНО-УПРАВЛЕНСКА И ПРЕДСТАВИТЕЛНА ДЕЙНОСТ”</t>
  </si>
  <si>
    <t>Получен/признат  брой точки по област III (с-но раздел II на Методиката за атестиране):</t>
  </si>
  <si>
    <t>Получен/признат  брой точки по област II (с-но раздел II на Методиката за атестиране):</t>
  </si>
  <si>
    <r>
      <t>Получен/признат брой точки за 3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Критерий:</t>
    </r>
  </si>
  <si>
    <r>
      <t>Получен/признат 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Критерий:</t>
    </r>
  </si>
  <si>
    <t>Получен/признат  брой точки по област I (с-но раздел II на Методиката за атестиране):</t>
  </si>
  <si>
    <t>Получен/признат брой точки за показател 1.3.2:</t>
  </si>
  <si>
    <t>Получен/признат брой точки за показател 1.1.2:</t>
  </si>
  <si>
    <t>Рък. сем. занятия/ консултант</t>
  </si>
  <si>
    <r>
      <t>"</t>
    </r>
    <r>
      <rPr>
        <b/>
        <i/>
        <sz val="12"/>
        <color indexed="8"/>
        <rFont val="Times New Roman"/>
        <family val="1"/>
      </rPr>
      <t>Публикувани</t>
    </r>
    <r>
      <rPr>
        <b/>
        <sz val="12"/>
        <color indexed="8"/>
        <rFont val="Times New Roman"/>
        <family val="1"/>
      </rPr>
      <t xml:space="preserve">, индивидуално или в съавторство, учебници, учебни пособия, монографии, използвани в учебния процес, и учебни помагала </t>
    </r>
    <r>
      <rPr>
        <b/>
        <i/>
        <sz val="12"/>
        <color indexed="8"/>
        <rFont val="Times New Roman"/>
        <family val="1"/>
      </rPr>
      <t>в стандартни страници</t>
    </r>
    <r>
      <rPr>
        <b/>
        <sz val="12"/>
        <color indexed="8"/>
        <rFont val="Times New Roman"/>
        <family val="1"/>
      </rPr>
      <t>”.</t>
    </r>
  </si>
  <si>
    <r>
      <t xml:space="preserve">При посочване на повече от 5 издадени учебници, учебни пособия, монографии и учебни помагала за периода се прилага списък, оформен като </t>
    </r>
    <r>
      <rPr>
        <b/>
        <sz val="11"/>
        <color indexed="8"/>
        <rFont val="Calibri"/>
        <family val="2"/>
      </rPr>
      <t>Приложение № 1.2 "Публикувани учебници, учебни пособия, монографии, учебни помагала", като в ред "Други" се посочва общият брой страници.</t>
    </r>
  </si>
  <si>
    <t>В трите таблици при този показател се посочват само дисциплините, по които атестираният е лектор/титуляр и/или ръководител на семинарни занятия/консултант и които е осигурил с авторски издания.</t>
  </si>
  <si>
    <t>Участие в научни форуми в България</t>
  </si>
  <si>
    <r>
      <t xml:space="preserve">За удостоверяване на посочените данни по показател 2.3.1 към индивидуалния атестационен отчет се прилага списък с наименованията на научните форуми, дати и места на провеждане. Списъкът се оформя като </t>
    </r>
    <r>
      <rPr>
        <b/>
        <sz val="11"/>
        <color indexed="8"/>
        <rFont val="Calibri"/>
        <family val="2"/>
      </rPr>
      <t>Приложение № 2.3 "Участие в научни форуми"</t>
    </r>
    <r>
      <rPr>
        <sz val="11"/>
        <color theme="1"/>
        <rFont val="Calibri"/>
        <family val="2"/>
      </rPr>
      <t xml:space="preserve">. </t>
    </r>
  </si>
  <si>
    <r>
      <t xml:space="preserve">За удостоверяване на посочените данни по показател 2.4.2 към индивидуалния атестационен отчет се прилага списък на ръководените докторанти през атестационния период. Списъкът се оформя като </t>
    </r>
    <r>
      <rPr>
        <b/>
        <sz val="11"/>
        <color indexed="8"/>
        <rFont val="Calibri"/>
        <family val="2"/>
      </rPr>
      <t>Приложение № 4.1 "Ръководство на докторанти"</t>
    </r>
    <r>
      <rPr>
        <sz val="11"/>
        <color theme="1"/>
        <rFont val="Calibri"/>
        <family val="2"/>
      </rPr>
      <t xml:space="preserve">. </t>
    </r>
  </si>
  <si>
    <r>
      <t>Важно!</t>
    </r>
    <r>
      <rPr>
        <b/>
        <sz val="12"/>
        <color indexed="8"/>
        <rFont val="Times New Roman"/>
        <family val="1"/>
      </rPr>
      <t xml:space="preserve"> Представената в индивидуалния атестационен отчет информация се подава от самия атестиран преподавател и той носи отговорност за верността на посочените данни!</t>
    </r>
  </si>
  <si>
    <t>Обективна невъзможност</t>
  </si>
  <si>
    <t>Доц. д-р АТАНАС АТАНАСОВ</t>
  </si>
  <si>
    <t>Доц. д-р ВИОЛЕТА КРАЕВА</t>
  </si>
  <si>
    <t>Доц. д-р АНЕТА ДЕНЕВА</t>
  </si>
  <si>
    <t>Катедра "Контрол и анализ на стопанската дейност"</t>
  </si>
  <si>
    <t>Катедра "Физическо възпитание и спорт"</t>
  </si>
  <si>
    <t>Катедра "Търговски и туристически бизнес"</t>
  </si>
  <si>
    <t>1. При водене на учебни курсове като сътитуляр, се попълват данните, които се отнасят само за атестирания преподавател (колонки "Обновени теми", "Общо теми", "Общ хорариум").</t>
  </si>
  <si>
    <t>Ръководител/координатор/организатор на сектор към център/институт</t>
  </si>
  <si>
    <t>Председател на ОС на факултет; Председател на Контролен съвет на СА</t>
  </si>
  <si>
    <t>Член на Контролен съвет на СА „Д. А. Ценов”</t>
  </si>
  <si>
    <t>Член на редколегия на научно издание/списание в СА „Д. А. Ценов“</t>
  </si>
  <si>
    <t>Ръководство на представителен отбор на Академията</t>
  </si>
  <si>
    <t>Член на национална агенция към МОН</t>
  </si>
  <si>
    <t>Член на комисия/експертна група към НАОА</t>
  </si>
  <si>
    <t>Катедра "История. Философия. Социология"</t>
  </si>
  <si>
    <t>Ръководство на докторант. отписан с право на защита</t>
  </si>
  <si>
    <t>Ръководство на докторант. отписан без право на защита</t>
  </si>
  <si>
    <t>Декан. Директор/Ръководител на център. Ръководител на институт</t>
  </si>
  <si>
    <t>Зам. декан. Зам. Директор/Зам. Ръководител на център</t>
  </si>
  <si>
    <t>Ръководител на отдел/офис. Координатор на център/институт. Зам. Ръководител на катедра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</si>
</sst>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-* #,##0.0\ _л_в_._-;\-* #,##0.0\ _л_в_._-;_-* &quot;-&quot;??\ _л_в_._-;_-@_-"/>
    <numFmt numFmtId="170" formatCode="_-* #,##0\ _л_в_._-;\-* #,##0\ _л_в_._-;_-* &quot;-&quot;??\ _л_в_._-;_-@_-"/>
    <numFmt numFmtId="171" formatCode="[$-402]dd\ mmmm\ yyyy"/>
    <numFmt numFmtId="172" formatCode="_-* #,##0.000\ _л_в_._-;\-* #,##0.000\ _л_в_._-;_-* &quot;-&quot;??\ _л_в_._-;_-@_-"/>
    <numFmt numFmtId="173" formatCode="_-* #,##0.0000\ _л_в_._-;\-* #,##0.0000\ _л_в_._-;_-* &quot;-&quot;??\ _л_в_._-;_-@_-"/>
    <numFmt numFmtId="174" formatCode="_-* #,##0.00000\ _л_в_._-;\-* #,##0.00000\ _л_в_._-;_-* &quot;-&quot;??\ _л_в_._-;_-@_-"/>
    <numFmt numFmtId="175" formatCode="_-* #,##0.000000\ _л_в_._-;\-* #,##0.000000\ _л_в_._-;_-* &quot;-&quot;??\ _л_в_._-;_-@_-"/>
    <numFmt numFmtId="176" formatCode="0.0"/>
    <numFmt numFmtId="177" formatCode="_-* #,##0.0\ _л_в_._-;\-* #,##0.0\ _л_в_._-;_-* &quot;-&quot;?\ _л_в_._-;_-@_-"/>
    <numFmt numFmtId="178" formatCode="[$-402]dd\ mmmm\ yyyy\ &quot;г.&quot;"/>
    <numFmt numFmtId="179" formatCode="hh:mm:ss\ &quot;ч.&quot;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0"/>
      <color indexed="8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ahoma"/>
      <family val="2"/>
    </font>
    <font>
      <b/>
      <vertAlign val="subscript"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9"/>
      <name val="Times New Roman"/>
      <family val="1"/>
    </font>
    <font>
      <sz val="14"/>
      <color indexed="8"/>
      <name val="Arial"/>
      <family val="2"/>
    </font>
    <font>
      <b/>
      <sz val="32"/>
      <color indexed="63"/>
      <name val="Times New Roman"/>
      <family val="1"/>
    </font>
    <font>
      <b/>
      <sz val="11"/>
      <color indexed="63"/>
      <name val="Times New Roman"/>
      <family val="1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i/>
      <sz val="20"/>
      <color indexed="8"/>
      <name val="Times New Roman"/>
      <family val="1"/>
    </font>
    <font>
      <b/>
      <sz val="21"/>
      <color indexed="9"/>
      <name val="Times New Roman"/>
      <family val="1"/>
    </font>
    <font>
      <b/>
      <sz val="12"/>
      <color indexed="8"/>
      <name val="Calibri"/>
      <family val="2"/>
    </font>
    <font>
      <b/>
      <sz val="15"/>
      <color indexed="62"/>
      <name val="Times New Roman"/>
      <family val="1"/>
    </font>
    <font>
      <b/>
      <i/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32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color indexed="8"/>
      <name val="Wingdings"/>
      <family val="0"/>
    </font>
    <font>
      <b/>
      <u val="single"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0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32"/>
      <color rgb="FF333333"/>
      <name val="Times New Roman"/>
      <family val="1"/>
    </font>
    <font>
      <b/>
      <sz val="11"/>
      <color rgb="FF333333"/>
      <name val="Times New Roman"/>
      <family val="1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20"/>
      <color theme="1"/>
      <name val="Times New Roman"/>
      <family val="1"/>
    </font>
    <font>
      <b/>
      <sz val="22"/>
      <color rgb="FFFFFFFF"/>
      <name val="Times New Roman"/>
      <family val="1"/>
    </font>
    <font>
      <b/>
      <sz val="21"/>
      <color theme="0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Wingdings"/>
      <family val="0"/>
    </font>
    <font>
      <b/>
      <sz val="11"/>
      <color theme="3" tint="0.39998000860214233"/>
      <name val="Times New Roman"/>
      <family val="1"/>
    </font>
    <font>
      <b/>
      <sz val="32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5"/>
      <color theme="3" tint="0.39998000860214233"/>
      <name val="Times New Roman"/>
      <family val="1"/>
    </font>
    <font>
      <sz val="11"/>
      <color theme="3" tint="0.39998000860214233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79" fillId="0" borderId="10" xfId="0" applyFont="1" applyBorder="1" applyAlignment="1">
      <alignment horizontal="justify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vertical="center" wrapText="1"/>
    </xf>
    <xf numFmtId="0" fontId="81" fillId="34" borderId="13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9" fontId="79" fillId="0" borderId="10" xfId="0" applyNumberFormat="1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0" fontId="81" fillId="34" borderId="13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 indent="15"/>
    </xf>
    <xf numFmtId="0" fontId="81" fillId="34" borderId="14" xfId="0" applyFont="1" applyFill="1" applyBorder="1" applyAlignment="1">
      <alignment horizontal="center" vertical="center" wrapText="1"/>
    </xf>
    <xf numFmtId="0" fontId="79" fillId="0" borderId="10" xfId="42" applyNumberFormat="1" applyFont="1" applyBorder="1" applyAlignment="1">
      <alignment horizontal="center" vertical="center" wrapText="1"/>
    </xf>
    <xf numFmtId="0" fontId="86" fillId="0" borderId="14" xfId="0" applyFont="1" applyBorder="1" applyAlignment="1">
      <alignment horizontal="justify" vertical="center" wrapText="1"/>
    </xf>
    <xf numFmtId="0" fontId="86" fillId="0" borderId="10" xfId="0" applyFont="1" applyBorder="1" applyAlignment="1">
      <alignment horizontal="justify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16" fontId="79" fillId="0" borderId="10" xfId="0" applyNumberFormat="1" applyFont="1" applyBorder="1" applyAlignment="1" quotePrefix="1">
      <alignment horizontal="center" vertical="center" wrapText="1"/>
    </xf>
    <xf numFmtId="0" fontId="87" fillId="0" borderId="0" xfId="0" applyFont="1" applyAlignment="1">
      <alignment horizontal="justify" vertical="center"/>
    </xf>
    <xf numFmtId="0" fontId="81" fillId="34" borderId="12" xfId="0" applyFont="1" applyFill="1" applyBorder="1" applyAlignment="1">
      <alignment horizontal="center" vertical="center" wrapText="1"/>
    </xf>
    <xf numFmtId="10" fontId="79" fillId="0" borderId="12" xfId="59" applyNumberFormat="1" applyFont="1" applyBorder="1" applyAlignment="1">
      <alignment horizontal="center" vertical="center" wrapText="1"/>
    </xf>
    <xf numFmtId="10" fontId="81" fillId="34" borderId="12" xfId="0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9" fontId="81" fillId="0" borderId="10" xfId="0" applyNumberFormat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79" fillId="0" borderId="14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88" fillId="36" borderId="0" xfId="0" applyFont="1" applyFill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9" fillId="0" borderId="15" xfId="0" applyFont="1" applyBorder="1" applyAlignment="1">
      <alignment vertical="center" wrapText="1"/>
    </xf>
    <xf numFmtId="0" fontId="90" fillId="0" borderId="0" xfId="0" applyFont="1" applyAlignment="1">
      <alignment horizontal="justify" vertical="center"/>
    </xf>
    <xf numFmtId="0" fontId="79" fillId="0" borderId="0" xfId="0" applyFont="1" applyAlignment="1">
      <alignment horizontal="justify" vertical="center"/>
    </xf>
    <xf numFmtId="0" fontId="91" fillId="0" borderId="0" xfId="0" applyFont="1" applyAlignment="1">
      <alignment horizontal="justify" vertical="center"/>
    </xf>
    <xf numFmtId="0" fontId="84" fillId="0" borderId="0" xfId="0" applyFont="1" applyAlignment="1">
      <alignment horizontal="justify" vertical="center"/>
    </xf>
    <xf numFmtId="0" fontId="81" fillId="37" borderId="14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3" fillId="0" borderId="0" xfId="0" applyFont="1" applyAlignment="1">
      <alignment horizontal="center"/>
    </xf>
    <xf numFmtId="0" fontId="79" fillId="0" borderId="14" xfId="0" applyFont="1" applyBorder="1" applyAlignment="1">
      <alignment horizontal="justify" vertical="center" wrapText="1"/>
    </xf>
    <xf numFmtId="0" fontId="94" fillId="38" borderId="16" xfId="0" applyFont="1" applyFill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1" fillId="33" borderId="14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8" fillId="0" borderId="0" xfId="0" applyFont="1" applyFill="1" applyAlignment="1">
      <alignment/>
    </xf>
    <xf numFmtId="0" fontId="87" fillId="0" borderId="0" xfId="0" applyFont="1" applyFill="1" applyBorder="1" applyAlignment="1">
      <alignment horizontal="right" vertical="top" wrapText="1"/>
    </xf>
    <xf numFmtId="43" fontId="87" fillId="0" borderId="0" xfId="42" applyFont="1" applyFill="1" applyBorder="1" applyAlignment="1">
      <alignment vertical="center" wrapText="1"/>
    </xf>
    <xf numFmtId="0" fontId="84" fillId="39" borderId="12" xfId="0" applyFont="1" applyFill="1" applyBorder="1" applyAlignment="1" applyProtection="1">
      <alignment horizontal="center" vertical="center" wrapText="1"/>
      <protection locked="0"/>
    </xf>
    <xf numFmtId="0" fontId="97" fillId="39" borderId="12" xfId="0" applyFont="1" applyFill="1" applyBorder="1" applyAlignment="1" applyProtection="1">
      <alignment horizontal="center" vertical="center" wrapText="1"/>
      <protection locked="0"/>
    </xf>
    <xf numFmtId="0" fontId="79" fillId="39" borderId="12" xfId="0" applyFont="1" applyFill="1" applyBorder="1" applyAlignment="1" applyProtection="1">
      <alignment horizontal="center" vertical="center" wrapText="1"/>
      <protection locked="0"/>
    </xf>
    <xf numFmtId="43" fontId="79" fillId="39" borderId="12" xfId="42" applyFont="1" applyFill="1" applyBorder="1" applyAlignment="1" applyProtection="1">
      <alignment horizontal="center" vertical="center" wrapText="1"/>
      <protection locked="0"/>
    </xf>
    <xf numFmtId="0" fontId="84" fillId="39" borderId="14" xfId="0" applyFont="1" applyFill="1" applyBorder="1" applyAlignment="1" applyProtection="1">
      <alignment horizontal="right" vertical="center" wrapText="1"/>
      <protection locked="0"/>
    </xf>
    <xf numFmtId="0" fontId="79" fillId="39" borderId="14" xfId="0" applyFont="1" applyFill="1" applyBorder="1" applyAlignment="1" applyProtection="1">
      <alignment horizontal="center" vertical="center" wrapText="1"/>
      <protection locked="0"/>
    </xf>
    <xf numFmtId="0" fontId="97" fillId="39" borderId="14" xfId="0" applyFont="1" applyFill="1" applyBorder="1" applyAlignment="1" applyProtection="1">
      <alignment vertical="center" wrapText="1"/>
      <protection locked="0"/>
    </xf>
    <xf numFmtId="0" fontId="80" fillId="39" borderId="14" xfId="0" applyFont="1" applyFill="1" applyBorder="1" applyAlignment="1" applyProtection="1">
      <alignment vertical="center" wrapText="1"/>
      <protection locked="0"/>
    </xf>
    <xf numFmtId="0" fontId="79" fillId="39" borderId="14" xfId="0" applyFont="1" applyFill="1" applyBorder="1" applyAlignment="1" applyProtection="1">
      <alignment vertical="center" wrapText="1"/>
      <protection locked="0"/>
    </xf>
    <xf numFmtId="0" fontId="87" fillId="0" borderId="0" xfId="0" applyFont="1" applyFill="1" applyBorder="1" applyAlignment="1">
      <alignment horizontal="right" vertical="center" wrapText="1"/>
    </xf>
    <xf numFmtId="0" fontId="95" fillId="39" borderId="16" xfId="0" applyFont="1" applyFill="1" applyBorder="1" applyAlignment="1" applyProtection="1">
      <alignment/>
      <protection locked="0"/>
    </xf>
    <xf numFmtId="0" fontId="95" fillId="39" borderId="17" xfId="0" applyFont="1" applyFill="1" applyBorder="1" applyAlignment="1" applyProtection="1">
      <alignment horizontal="right"/>
      <protection locked="0"/>
    </xf>
    <xf numFmtId="0" fontId="95" fillId="39" borderId="17" xfId="0" applyFont="1" applyFill="1" applyBorder="1" applyAlignment="1" applyProtection="1">
      <alignment/>
      <protection locked="0"/>
    </xf>
    <xf numFmtId="0" fontId="79" fillId="0" borderId="18" xfId="0" applyFont="1" applyFill="1" applyBorder="1" applyAlignment="1">
      <alignment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1" fillId="41" borderId="14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79" fillId="39" borderId="14" xfId="0" applyFont="1" applyFill="1" applyBorder="1" applyAlignment="1" applyProtection="1">
      <alignment horizontal="center" vertical="center" wrapText="1"/>
      <protection locked="0"/>
    </xf>
    <xf numFmtId="0" fontId="98" fillId="0" borderId="0" xfId="0" applyFont="1" applyFill="1" applyAlignment="1">
      <alignment horizontal="left" vertical="center"/>
    </xf>
    <xf numFmtId="0" fontId="9" fillId="42" borderId="0" xfId="0" applyFont="1" applyFill="1" applyAlignment="1">
      <alignment horizontal="left" vertical="center" wrapText="1"/>
    </xf>
    <xf numFmtId="0" fontId="90" fillId="2" borderId="0" xfId="0" applyFont="1" applyFill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 horizontal="center" vertical="center" wrapText="1"/>
    </xf>
    <xf numFmtId="0" fontId="90" fillId="33" borderId="14" xfId="0" applyFont="1" applyFill="1" applyBorder="1" applyAlignment="1">
      <alignment horizontal="center" vertical="center" wrapText="1"/>
    </xf>
    <xf numFmtId="0" fontId="81" fillId="42" borderId="14" xfId="0" applyFont="1" applyFill="1" applyBorder="1" applyAlignment="1">
      <alignment horizontal="center" vertical="center" wrapText="1"/>
    </xf>
    <xf numFmtId="0" fontId="100" fillId="36" borderId="0" xfId="0" applyFont="1" applyFill="1" applyAlignment="1">
      <alignment horizontal="center" vertical="center"/>
    </xf>
    <xf numFmtId="0" fontId="81" fillId="43" borderId="14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/>
    </xf>
    <xf numFmtId="14" fontId="91" fillId="0" borderId="0" xfId="0" applyNumberFormat="1" applyFont="1" applyFill="1" applyAlignment="1" applyProtection="1">
      <alignment horizontal="center" vertical="center"/>
      <protection locked="0"/>
    </xf>
    <xf numFmtId="43" fontId="87" fillId="0" borderId="0" xfId="42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77" fillId="44" borderId="0" xfId="0" applyFont="1" applyFill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81" fillId="33" borderId="12" xfId="0" applyNumberFormat="1" applyFont="1" applyFill="1" applyBorder="1" applyAlignment="1">
      <alignment horizontal="center" vertical="center" wrapText="1"/>
    </xf>
    <xf numFmtId="176" fontId="81" fillId="42" borderId="14" xfId="0" applyNumberFormat="1" applyFont="1" applyFill="1" applyBorder="1" applyAlignment="1">
      <alignment horizontal="center" vertical="center" wrapText="1"/>
    </xf>
    <xf numFmtId="176" fontId="87" fillId="45" borderId="14" xfId="0" applyNumberFormat="1" applyFont="1" applyFill="1" applyBorder="1" applyAlignment="1">
      <alignment horizontal="center" vertical="center" wrapText="1"/>
    </xf>
    <xf numFmtId="176" fontId="79" fillId="0" borderId="14" xfId="0" applyNumberFormat="1" applyFont="1" applyBorder="1" applyAlignment="1">
      <alignment horizontal="center" vertical="center" wrapText="1"/>
    </xf>
    <xf numFmtId="176" fontId="81" fillId="34" borderId="14" xfId="0" applyNumberFormat="1" applyFont="1" applyFill="1" applyBorder="1" applyAlignment="1">
      <alignment horizontal="center" vertical="center" wrapText="1"/>
    </xf>
    <xf numFmtId="176" fontId="79" fillId="0" borderId="14" xfId="0" applyNumberFormat="1" applyFont="1" applyFill="1" applyBorder="1" applyAlignment="1">
      <alignment horizontal="center" vertical="center" wrapText="1"/>
    </xf>
    <xf numFmtId="176" fontId="87" fillId="34" borderId="14" xfId="0" applyNumberFormat="1" applyFont="1" applyFill="1" applyBorder="1" applyAlignment="1">
      <alignment horizontal="center" vertical="center" wrapText="1"/>
    </xf>
    <xf numFmtId="176" fontId="87" fillId="33" borderId="14" xfId="0" applyNumberFormat="1" applyFont="1" applyFill="1" applyBorder="1" applyAlignment="1">
      <alignment horizontal="center" vertical="center" wrapText="1"/>
    </xf>
    <xf numFmtId="176" fontId="77" fillId="42" borderId="14" xfId="0" applyNumberFormat="1" applyFont="1" applyFill="1" applyBorder="1" applyAlignment="1">
      <alignment horizontal="center" vertical="center"/>
    </xf>
    <xf numFmtId="176" fontId="84" fillId="0" borderId="12" xfId="42" applyNumberFormat="1" applyFont="1" applyFill="1" applyBorder="1" applyAlignment="1">
      <alignment horizontal="center" vertical="center" wrapText="1"/>
    </xf>
    <xf numFmtId="176" fontId="84" fillId="0" borderId="12" xfId="42" applyNumberFormat="1" applyFont="1" applyBorder="1" applyAlignment="1">
      <alignment horizontal="center" vertical="center" wrapText="1"/>
    </xf>
    <xf numFmtId="176" fontId="87" fillId="27" borderId="12" xfId="42" applyNumberFormat="1" applyFont="1" applyFill="1" applyBorder="1" applyAlignment="1">
      <alignment horizontal="center" vertical="center" wrapText="1"/>
    </xf>
    <xf numFmtId="176" fontId="87" fillId="33" borderId="12" xfId="0" applyNumberFormat="1" applyFont="1" applyFill="1" applyBorder="1" applyAlignment="1">
      <alignment horizontal="center" vertical="center" wrapText="1"/>
    </xf>
    <xf numFmtId="176" fontId="87" fillId="33" borderId="14" xfId="42" applyNumberFormat="1" applyFont="1" applyFill="1" applyBorder="1" applyAlignment="1">
      <alignment horizontal="center" vertical="center" wrapText="1"/>
    </xf>
    <xf numFmtId="176" fontId="84" fillId="34" borderId="14" xfId="0" applyNumberFormat="1" applyFont="1" applyFill="1" applyBorder="1" applyAlignment="1">
      <alignment horizontal="center" vertical="center" wrapText="1"/>
    </xf>
    <xf numFmtId="176" fontId="84" fillId="34" borderId="14" xfId="42" applyNumberFormat="1" applyFont="1" applyFill="1" applyBorder="1" applyAlignment="1">
      <alignment horizontal="center" vertical="center" wrapText="1"/>
    </xf>
    <xf numFmtId="176" fontId="79" fillId="0" borderId="12" xfId="42" applyNumberFormat="1" applyFont="1" applyBorder="1" applyAlignment="1">
      <alignment horizontal="center" vertical="center" wrapText="1"/>
    </xf>
    <xf numFmtId="176" fontId="87" fillId="34" borderId="12" xfId="42" applyNumberFormat="1" applyFont="1" applyFill="1" applyBorder="1" applyAlignment="1">
      <alignment horizontal="center" vertical="center" wrapText="1"/>
    </xf>
    <xf numFmtId="176" fontId="87" fillId="34" borderId="12" xfId="0" applyNumberFormat="1" applyFont="1" applyFill="1" applyBorder="1" applyAlignment="1">
      <alignment horizontal="center" vertical="center" wrapText="1"/>
    </xf>
    <xf numFmtId="176" fontId="81" fillId="0" borderId="14" xfId="0" applyNumberFormat="1" applyFont="1" applyBorder="1" applyAlignment="1">
      <alignment horizontal="center" vertical="center" wrapText="1"/>
    </xf>
    <xf numFmtId="0" fontId="87" fillId="46" borderId="14" xfId="42" applyNumberFormat="1" applyFont="1" applyFill="1" applyBorder="1" applyAlignment="1">
      <alignment horizontal="center" vertical="center" wrapText="1"/>
    </xf>
    <xf numFmtId="176" fontId="87" fillId="34" borderId="14" xfId="42" applyNumberFormat="1" applyFont="1" applyFill="1" applyBorder="1" applyAlignment="1">
      <alignment horizontal="center" vertical="center" wrapText="1"/>
    </xf>
    <xf numFmtId="176" fontId="87" fillId="46" borderId="14" xfId="42" applyNumberFormat="1" applyFont="1" applyFill="1" applyBorder="1" applyAlignment="1">
      <alignment horizontal="center" vertical="center" wrapText="1"/>
    </xf>
    <xf numFmtId="1" fontId="87" fillId="46" borderId="14" xfId="42" applyNumberFormat="1" applyFont="1" applyFill="1" applyBorder="1" applyAlignment="1">
      <alignment horizontal="center" vertical="center" wrapText="1"/>
    </xf>
    <xf numFmtId="176" fontId="81" fillId="33" borderId="14" xfId="0" applyNumberFormat="1" applyFont="1" applyFill="1" applyBorder="1" applyAlignment="1">
      <alignment horizontal="center" vertical="center" wrapText="1"/>
    </xf>
    <xf numFmtId="176" fontId="81" fillId="47" borderId="14" xfId="0" applyNumberFormat="1" applyFont="1" applyFill="1" applyBorder="1" applyAlignment="1">
      <alignment horizontal="center" vertical="center" wrapText="1"/>
    </xf>
    <xf numFmtId="176" fontId="81" fillId="33" borderId="12" xfId="42" applyNumberFormat="1" applyFont="1" applyFill="1" applyBorder="1" applyAlignment="1">
      <alignment horizontal="center" vertical="center" wrapText="1"/>
    </xf>
    <xf numFmtId="176" fontId="81" fillId="45" borderId="14" xfId="0" applyNumberFormat="1" applyFont="1" applyFill="1" applyBorder="1" applyAlignment="1">
      <alignment horizontal="center" vertical="center" wrapText="1"/>
    </xf>
    <xf numFmtId="176" fontId="79" fillId="34" borderId="12" xfId="0" applyNumberFormat="1" applyFont="1" applyFill="1" applyBorder="1" applyAlignment="1">
      <alignment horizontal="center" vertical="center" wrapText="1"/>
    </xf>
    <xf numFmtId="176" fontId="81" fillId="41" borderId="12" xfId="0" applyNumberFormat="1" applyFont="1" applyFill="1" applyBorder="1" applyAlignment="1">
      <alignment horizontal="center" vertical="center" wrapText="1"/>
    </xf>
    <xf numFmtId="176" fontId="81" fillId="43" borderId="14" xfId="42" applyNumberFormat="1" applyFont="1" applyFill="1" applyBorder="1" applyAlignment="1">
      <alignment horizontal="center" vertical="center" wrapText="1"/>
    </xf>
    <xf numFmtId="176" fontId="90" fillId="34" borderId="14" xfId="42" applyNumberFormat="1" applyFont="1" applyFill="1" applyBorder="1" applyAlignment="1">
      <alignment horizontal="center" vertical="center" wrapText="1"/>
    </xf>
    <xf numFmtId="0" fontId="79" fillId="39" borderId="14" xfId="0" applyFont="1" applyFill="1" applyBorder="1" applyAlignment="1" applyProtection="1">
      <alignment horizontal="center" vertical="center" wrapText="1"/>
      <protection locked="0"/>
    </xf>
    <xf numFmtId="0" fontId="79" fillId="0" borderId="19" xfId="0" applyFont="1" applyFill="1" applyBorder="1" applyAlignment="1">
      <alignment horizontal="justify" vertical="center" wrapText="1"/>
    </xf>
    <xf numFmtId="176" fontId="79" fillId="0" borderId="20" xfId="42" applyNumberFormat="1" applyFont="1" applyFill="1" applyBorder="1" applyAlignment="1">
      <alignment horizontal="center" vertical="center"/>
    </xf>
    <xf numFmtId="176" fontId="79" fillId="0" borderId="13" xfId="42" applyNumberFormat="1" applyFont="1" applyFill="1" applyBorder="1" applyAlignment="1">
      <alignment horizontal="center" vertical="center"/>
    </xf>
    <xf numFmtId="0" fontId="79" fillId="0" borderId="20" xfId="0" applyFont="1" applyBorder="1" applyAlignment="1">
      <alignment horizontal="left" vertical="center" wrapText="1"/>
    </xf>
    <xf numFmtId="0" fontId="79" fillId="0" borderId="21" xfId="0" applyFont="1" applyBorder="1" applyAlignment="1">
      <alignment horizontal="left" vertical="center" wrapText="1"/>
    </xf>
    <xf numFmtId="0" fontId="79" fillId="0" borderId="13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9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0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40" borderId="0" xfId="0" applyFont="1" applyFill="1" applyAlignment="1">
      <alignment horizontal="center" vertical="center" wrapText="1"/>
    </xf>
    <xf numFmtId="0" fontId="87" fillId="34" borderId="14" xfId="0" applyFont="1" applyFill="1" applyBorder="1" applyAlignment="1">
      <alignment horizontal="right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21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0" fillId="39" borderId="14" xfId="0" applyFill="1" applyBorder="1" applyAlignment="1" applyProtection="1">
      <alignment horizontal="left"/>
      <protection locked="0"/>
    </xf>
    <xf numFmtId="0" fontId="81" fillId="34" borderId="14" xfId="0" applyFont="1" applyFill="1" applyBorder="1" applyAlignment="1">
      <alignment horizontal="right" vertical="center" wrapText="1"/>
    </xf>
    <xf numFmtId="0" fontId="87" fillId="46" borderId="20" xfId="0" applyFont="1" applyFill="1" applyBorder="1" applyAlignment="1">
      <alignment horizontal="right" vertical="center" wrapText="1"/>
    </xf>
    <xf numFmtId="0" fontId="87" fillId="46" borderId="21" xfId="0" applyFont="1" applyFill="1" applyBorder="1" applyAlignment="1">
      <alignment horizontal="right" vertical="center" wrapText="1"/>
    </xf>
    <xf numFmtId="0" fontId="87" fillId="46" borderId="13" xfId="0" applyFont="1" applyFill="1" applyBorder="1" applyAlignment="1">
      <alignment horizontal="right" vertical="center" wrapText="1"/>
    </xf>
    <xf numFmtId="0" fontId="79" fillId="39" borderId="20" xfId="0" applyFont="1" applyFill="1" applyBorder="1" applyAlignment="1" applyProtection="1">
      <alignment horizontal="left" vertical="center" wrapText="1"/>
      <protection locked="0"/>
    </xf>
    <xf numFmtId="0" fontId="79" fillId="39" borderId="21" xfId="0" applyFont="1" applyFill="1" applyBorder="1" applyAlignment="1" applyProtection="1">
      <alignment horizontal="left" vertical="center" wrapText="1"/>
      <protection locked="0"/>
    </xf>
    <xf numFmtId="0" fontId="79" fillId="39" borderId="13" xfId="0" applyFont="1" applyFill="1" applyBorder="1" applyAlignment="1" applyProtection="1">
      <alignment horizontal="left" vertical="center" wrapText="1"/>
      <protection locked="0"/>
    </xf>
    <xf numFmtId="0" fontId="81" fillId="34" borderId="20" xfId="0" applyFont="1" applyFill="1" applyBorder="1" applyAlignment="1">
      <alignment horizontal="right" vertical="center" wrapText="1"/>
    </xf>
    <xf numFmtId="0" fontId="81" fillId="34" borderId="21" xfId="0" applyFont="1" applyFill="1" applyBorder="1" applyAlignment="1">
      <alignment horizontal="right" vertical="center" wrapText="1"/>
    </xf>
    <xf numFmtId="0" fontId="87" fillId="34" borderId="20" xfId="0" applyFont="1" applyFill="1" applyBorder="1" applyAlignment="1">
      <alignment horizontal="right" vertical="center" wrapText="1"/>
    </xf>
    <xf numFmtId="0" fontId="87" fillId="34" borderId="21" xfId="0" applyFont="1" applyFill="1" applyBorder="1" applyAlignment="1">
      <alignment horizontal="right" vertical="center" wrapText="1"/>
    </xf>
    <xf numFmtId="0" fontId="87" fillId="34" borderId="13" xfId="0" applyFont="1" applyFill="1" applyBorder="1" applyAlignment="1">
      <alignment horizontal="right" vertical="center" wrapText="1"/>
    </xf>
    <xf numFmtId="0" fontId="87" fillId="34" borderId="20" xfId="0" applyFont="1" applyFill="1" applyBorder="1" applyAlignment="1">
      <alignment horizontal="center" vertical="center" wrapText="1"/>
    </xf>
    <xf numFmtId="0" fontId="87" fillId="34" borderId="2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99" fillId="48" borderId="0" xfId="0" applyFont="1" applyFill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Fill="1" applyAlignment="1">
      <alignment horizontal="center"/>
    </xf>
    <xf numFmtId="0" fontId="81" fillId="34" borderId="13" xfId="0" applyFont="1" applyFill="1" applyBorder="1" applyAlignment="1">
      <alignment horizontal="right" vertical="center" wrapText="1"/>
    </xf>
    <xf numFmtId="0" fontId="86" fillId="43" borderId="14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176" fontId="79" fillId="0" borderId="14" xfId="0" applyNumberFormat="1" applyFont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center" vertical="center" wrapText="1"/>
    </xf>
    <xf numFmtId="0" fontId="81" fillId="34" borderId="21" xfId="0" applyFont="1" applyFill="1" applyBorder="1" applyAlignment="1">
      <alignment horizontal="center" vertical="center" wrapText="1"/>
    </xf>
    <xf numFmtId="0" fontId="81" fillId="34" borderId="13" xfId="0" applyFont="1" applyFill="1" applyBorder="1" applyAlignment="1">
      <alignment horizontal="center" vertical="center" wrapText="1"/>
    </xf>
    <xf numFmtId="176" fontId="81" fillId="34" borderId="14" xfId="42" applyNumberFormat="1" applyFont="1" applyFill="1" applyBorder="1" applyAlignment="1">
      <alignment horizontal="center" vertical="center" wrapText="1"/>
    </xf>
    <xf numFmtId="0" fontId="83" fillId="41" borderId="20" xfId="0" applyFont="1" applyFill="1" applyBorder="1" applyAlignment="1">
      <alignment horizontal="right" vertical="center" wrapText="1"/>
    </xf>
    <xf numFmtId="0" fontId="83" fillId="41" borderId="21" xfId="0" applyFont="1" applyFill="1" applyBorder="1" applyAlignment="1">
      <alignment horizontal="right" vertical="center" wrapText="1"/>
    </xf>
    <xf numFmtId="0" fontId="83" fillId="41" borderId="13" xfId="0" applyFont="1" applyFill="1" applyBorder="1" applyAlignment="1">
      <alignment horizontal="right" vertical="center" wrapText="1"/>
    </xf>
    <xf numFmtId="0" fontId="90" fillId="34" borderId="20" xfId="0" applyFont="1" applyFill="1" applyBorder="1" applyAlignment="1">
      <alignment horizontal="center" vertical="center" wrapText="1"/>
    </xf>
    <xf numFmtId="0" fontId="90" fillId="34" borderId="21" xfId="0" applyFont="1" applyFill="1" applyBorder="1" applyAlignment="1">
      <alignment horizontal="center" vertical="center" wrapText="1"/>
    </xf>
    <xf numFmtId="0" fontId="90" fillId="34" borderId="13" xfId="0" applyFont="1" applyFill="1" applyBorder="1" applyAlignment="1">
      <alignment horizontal="center" vertical="center" wrapText="1"/>
    </xf>
    <xf numFmtId="0" fontId="90" fillId="33" borderId="20" xfId="0" applyFont="1" applyFill="1" applyBorder="1" applyAlignment="1">
      <alignment horizontal="center" vertical="center" wrapText="1"/>
    </xf>
    <xf numFmtId="0" fontId="90" fillId="33" borderId="21" xfId="0" applyFont="1" applyFill="1" applyBorder="1" applyAlignment="1">
      <alignment horizontal="center" vertical="center" wrapText="1"/>
    </xf>
    <xf numFmtId="0" fontId="90" fillId="33" borderId="13" xfId="0" applyFont="1" applyFill="1" applyBorder="1" applyAlignment="1">
      <alignment horizontal="center" vertical="center" wrapText="1"/>
    </xf>
    <xf numFmtId="0" fontId="81" fillId="41" borderId="20" xfId="0" applyFont="1" applyFill="1" applyBorder="1" applyAlignment="1">
      <alignment horizontal="right" vertical="center" wrapText="1"/>
    </xf>
    <xf numFmtId="0" fontId="81" fillId="41" borderId="21" xfId="0" applyFont="1" applyFill="1" applyBorder="1" applyAlignment="1">
      <alignment horizontal="right" vertical="center" wrapText="1"/>
    </xf>
    <xf numFmtId="0" fontId="81" fillId="41" borderId="13" xfId="0" applyFont="1" applyFill="1" applyBorder="1" applyAlignment="1">
      <alignment horizontal="right" vertical="center" wrapText="1"/>
    </xf>
    <xf numFmtId="10" fontId="79" fillId="0" borderId="14" xfId="59" applyNumberFormat="1" applyFont="1" applyBorder="1" applyAlignment="1">
      <alignment horizontal="center" vertical="center" wrapText="1"/>
    </xf>
    <xf numFmtId="0" fontId="81" fillId="4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81" fillId="34" borderId="21" xfId="42" applyNumberFormat="1" applyFont="1" applyFill="1" applyBorder="1" applyAlignment="1">
      <alignment horizontal="center" vertical="center" wrapText="1"/>
    </xf>
    <xf numFmtId="176" fontId="81" fillId="34" borderId="13" xfId="42" applyNumberFormat="1" applyFont="1" applyFill="1" applyBorder="1" applyAlignment="1">
      <alignment horizontal="center" vertical="center" wrapText="1"/>
    </xf>
    <xf numFmtId="176" fontId="79" fillId="0" borderId="20" xfId="42" applyNumberFormat="1" applyFont="1" applyBorder="1" applyAlignment="1">
      <alignment horizontal="center" vertical="center"/>
    </xf>
    <xf numFmtId="176" fontId="79" fillId="0" borderId="13" xfId="42" applyNumberFormat="1" applyFont="1" applyBorder="1" applyAlignment="1">
      <alignment horizontal="center" vertical="center"/>
    </xf>
    <xf numFmtId="0" fontId="81" fillId="33" borderId="14" xfId="0" applyFont="1" applyFill="1" applyBorder="1" applyAlignment="1">
      <alignment horizontal="right" vertical="center" wrapText="1"/>
    </xf>
    <xf numFmtId="0" fontId="80" fillId="42" borderId="14" xfId="0" applyFont="1" applyFill="1" applyBorder="1" applyAlignment="1">
      <alignment horizontal="right" vertical="center" wrapText="1"/>
    </xf>
    <xf numFmtId="0" fontId="97" fillId="39" borderId="20" xfId="0" applyFont="1" applyFill="1" applyBorder="1" applyAlignment="1" applyProtection="1">
      <alignment horizontal="left" vertical="center" wrapText="1"/>
      <protection locked="0"/>
    </xf>
    <xf numFmtId="0" fontId="97" fillId="39" borderId="21" xfId="0" applyFont="1" applyFill="1" applyBorder="1" applyAlignment="1" applyProtection="1">
      <alignment horizontal="left" vertical="center" wrapText="1"/>
      <protection locked="0"/>
    </xf>
    <xf numFmtId="0" fontId="97" fillId="39" borderId="13" xfId="0" applyFont="1" applyFill="1" applyBorder="1" applyAlignment="1" applyProtection="1">
      <alignment horizontal="left" vertical="center" wrapText="1"/>
      <protection locked="0"/>
    </xf>
    <xf numFmtId="0" fontId="80" fillId="33" borderId="20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7" fillId="45" borderId="14" xfId="0" applyFont="1" applyFill="1" applyBorder="1" applyAlignment="1">
      <alignment horizontal="right" vertical="center" wrapText="1"/>
    </xf>
    <xf numFmtId="0" fontId="81" fillId="33" borderId="20" xfId="0" applyFont="1" applyFill="1" applyBorder="1" applyAlignment="1">
      <alignment horizontal="right" vertical="center" wrapText="1"/>
    </xf>
    <xf numFmtId="0" fontId="81" fillId="33" borderId="21" xfId="0" applyFont="1" applyFill="1" applyBorder="1" applyAlignment="1">
      <alignment horizontal="right" vertical="center" wrapText="1"/>
    </xf>
    <xf numFmtId="0" fontId="81" fillId="33" borderId="13" xfId="0" applyFont="1" applyFill="1" applyBorder="1" applyAlignment="1">
      <alignment horizontal="right" vertical="center" wrapText="1"/>
    </xf>
    <xf numFmtId="0" fontId="90" fillId="2" borderId="0" xfId="0" applyFont="1" applyFill="1" applyAlignment="1">
      <alignment horizontal="center" vertical="center" wrapText="1"/>
    </xf>
    <xf numFmtId="0" fontId="81" fillId="33" borderId="20" xfId="0" applyFont="1" applyFill="1" applyBorder="1" applyAlignment="1">
      <alignment horizontal="center" vertical="center" wrapText="1"/>
    </xf>
    <xf numFmtId="0" fontId="81" fillId="33" borderId="21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176" fontId="79" fillId="0" borderId="20" xfId="42" applyNumberFormat="1" applyFont="1" applyBorder="1" applyAlignment="1">
      <alignment horizontal="center" vertical="center" wrapText="1"/>
    </xf>
    <xf numFmtId="176" fontId="79" fillId="0" borderId="13" xfId="42" applyNumberFormat="1" applyFont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left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105" fillId="0" borderId="14" xfId="0" applyFont="1" applyBorder="1" applyAlignment="1">
      <alignment horizontal="center" vertical="center" wrapText="1"/>
    </xf>
    <xf numFmtId="0" fontId="80" fillId="47" borderId="14" xfId="0" applyFont="1" applyFill="1" applyBorder="1" applyAlignment="1">
      <alignment horizontal="right" vertical="center" wrapText="1"/>
    </xf>
    <xf numFmtId="2" fontId="97" fillId="0" borderId="20" xfId="42" applyNumberFormat="1" applyFont="1" applyBorder="1" applyAlignment="1">
      <alignment horizontal="center" vertical="center"/>
    </xf>
    <xf numFmtId="2" fontId="97" fillId="0" borderId="13" xfId="42" applyNumberFormat="1" applyFont="1" applyBorder="1" applyAlignment="1">
      <alignment horizontal="center" vertical="center"/>
    </xf>
    <xf numFmtId="0" fontId="90" fillId="33" borderId="14" xfId="0" applyFont="1" applyFill="1" applyBorder="1" applyAlignment="1">
      <alignment horizontal="center" vertical="center" wrapText="1"/>
    </xf>
    <xf numFmtId="0" fontId="79" fillId="39" borderId="20" xfId="0" applyFont="1" applyFill="1" applyBorder="1" applyAlignment="1" applyProtection="1">
      <alignment horizontal="center" vertical="center" wrapText="1"/>
      <protection locked="0"/>
    </xf>
    <xf numFmtId="0" fontId="79" fillId="39" borderId="13" xfId="0" applyFont="1" applyFill="1" applyBorder="1" applyAlignment="1" applyProtection="1">
      <alignment horizontal="center" vertical="center" wrapText="1"/>
      <protection locked="0"/>
    </xf>
    <xf numFmtId="0" fontId="87" fillId="33" borderId="20" xfId="0" applyFont="1" applyFill="1" applyBorder="1" applyAlignment="1">
      <alignment horizontal="right" vertical="center" wrapText="1"/>
    </xf>
    <xf numFmtId="0" fontId="87" fillId="33" borderId="21" xfId="0" applyFont="1" applyFill="1" applyBorder="1" applyAlignment="1">
      <alignment horizontal="right" vertical="center" wrapText="1"/>
    </xf>
    <xf numFmtId="0" fontId="87" fillId="33" borderId="13" xfId="0" applyFont="1" applyFill="1" applyBorder="1" applyAlignment="1">
      <alignment horizontal="right" vertical="center" wrapText="1"/>
    </xf>
    <xf numFmtId="0" fontId="87" fillId="34" borderId="14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87" fillId="39" borderId="14" xfId="0" applyFont="1" applyFill="1" applyBorder="1" applyAlignment="1" applyProtection="1">
      <alignment horizontal="center" vertical="center" wrapText="1"/>
      <protection locked="0"/>
    </xf>
    <xf numFmtId="0" fontId="0" fillId="39" borderId="14" xfId="0" applyNumberFormat="1" applyFill="1" applyBorder="1" applyAlignment="1" applyProtection="1" quotePrefix="1">
      <alignment horizontal="center"/>
      <protection locked="0"/>
    </xf>
    <xf numFmtId="0" fontId="0" fillId="39" borderId="14" xfId="0" applyNumberFormat="1" applyFill="1" applyBorder="1" applyAlignment="1" applyProtection="1">
      <alignment horizontal="center"/>
      <protection locked="0"/>
    </xf>
    <xf numFmtId="0" fontId="79" fillId="39" borderId="14" xfId="0" applyFont="1" applyFill="1" applyBorder="1" applyAlignment="1" applyProtection="1">
      <alignment horizontal="center" vertical="center" wrapText="1"/>
      <protection locked="0"/>
    </xf>
    <xf numFmtId="0" fontId="87" fillId="33" borderId="14" xfId="0" applyFont="1" applyFill="1" applyBorder="1" applyAlignment="1">
      <alignment horizontal="right" vertical="center" wrapText="1"/>
    </xf>
    <xf numFmtId="0" fontId="80" fillId="33" borderId="22" xfId="0" applyFont="1" applyFill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horizontal="center" vertical="center" wrapText="1"/>
    </xf>
    <xf numFmtId="0" fontId="90" fillId="33" borderId="25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87" fillId="46" borderId="14" xfId="0" applyFont="1" applyFill="1" applyBorder="1" applyAlignment="1">
      <alignment horizontal="right" vertical="center" wrapText="1"/>
    </xf>
    <xf numFmtId="0" fontId="87" fillId="33" borderId="20" xfId="0" applyFont="1" applyFill="1" applyBorder="1" applyAlignment="1">
      <alignment horizontal="right" vertical="top" wrapText="1"/>
    </xf>
    <xf numFmtId="0" fontId="87" fillId="33" borderId="21" xfId="0" applyFont="1" applyFill="1" applyBorder="1" applyAlignment="1">
      <alignment horizontal="right" vertical="top" wrapText="1"/>
    </xf>
    <xf numFmtId="0" fontId="87" fillId="33" borderId="13" xfId="0" applyFont="1" applyFill="1" applyBorder="1" applyAlignment="1">
      <alignment horizontal="right" vertical="top" wrapText="1"/>
    </xf>
    <xf numFmtId="0" fontId="87" fillId="0" borderId="20" xfId="0" applyFont="1" applyBorder="1" applyAlignment="1">
      <alignment horizontal="right" vertical="center" wrapText="1"/>
    </xf>
    <xf numFmtId="0" fontId="87" fillId="0" borderId="21" xfId="0" applyFont="1" applyBorder="1" applyAlignment="1">
      <alignment horizontal="right" vertical="center" wrapText="1"/>
    </xf>
    <xf numFmtId="0" fontId="87" fillId="0" borderId="13" xfId="0" applyFont="1" applyBorder="1" applyAlignment="1">
      <alignment horizontal="right" vertical="center" wrapText="1"/>
    </xf>
    <xf numFmtId="0" fontId="87" fillId="27" borderId="20" xfId="0" applyFont="1" applyFill="1" applyBorder="1" applyAlignment="1">
      <alignment horizontal="right" vertical="center" wrapText="1"/>
    </xf>
    <xf numFmtId="0" fontId="87" fillId="27" borderId="21" xfId="0" applyFont="1" applyFill="1" applyBorder="1" applyAlignment="1">
      <alignment horizontal="right" vertical="center" wrapText="1"/>
    </xf>
    <xf numFmtId="0" fontId="87" fillId="27" borderId="13" xfId="0" applyFont="1" applyFill="1" applyBorder="1" applyAlignment="1">
      <alignment horizontal="right" vertical="center" wrapText="1"/>
    </xf>
    <xf numFmtId="0" fontId="90" fillId="2" borderId="0" xfId="0" applyFont="1" applyFill="1" applyAlignment="1" quotePrefix="1">
      <alignment horizontal="center" vertical="center" wrapText="1"/>
    </xf>
    <xf numFmtId="0" fontId="106" fillId="0" borderId="0" xfId="0" applyFont="1" applyFill="1" applyAlignment="1">
      <alignment horizontal="center"/>
    </xf>
    <xf numFmtId="0" fontId="107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108" fillId="0" borderId="0" xfId="0" applyFont="1" applyFill="1" applyAlignment="1">
      <alignment horizontal="center"/>
    </xf>
    <xf numFmtId="0" fontId="81" fillId="41" borderId="14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90" fillId="35" borderId="0" xfId="0" applyFont="1" applyFill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1" fontId="81" fillId="34" borderId="14" xfId="42" applyNumberFormat="1" applyFont="1" applyFill="1" applyBorder="1" applyAlignment="1">
      <alignment horizontal="center" vertical="center" wrapText="1"/>
    </xf>
    <xf numFmtId="0" fontId="84" fillId="39" borderId="20" xfId="0" applyFont="1" applyFill="1" applyBorder="1" applyAlignment="1" applyProtection="1">
      <alignment horizontal="left" vertical="center" wrapText="1"/>
      <protection locked="0"/>
    </xf>
    <xf numFmtId="0" fontId="84" fillId="39" borderId="21" xfId="0" applyFont="1" applyFill="1" applyBorder="1" applyAlignment="1" applyProtection="1">
      <alignment horizontal="left" vertical="center" wrapText="1"/>
      <protection locked="0"/>
    </xf>
    <xf numFmtId="0" fontId="84" fillId="39" borderId="13" xfId="0" applyFont="1" applyFill="1" applyBorder="1" applyAlignment="1" applyProtection="1">
      <alignment horizontal="left" vertical="center" wrapText="1"/>
      <protection locked="0"/>
    </xf>
    <xf numFmtId="0" fontId="88" fillId="36" borderId="0" xfId="0" applyFont="1" applyFill="1" applyAlignment="1">
      <alignment horizontal="center" vertical="center"/>
    </xf>
    <xf numFmtId="0" fontId="81" fillId="49" borderId="20" xfId="0" applyFont="1" applyFill="1" applyBorder="1" applyAlignment="1">
      <alignment horizontal="center" vertical="center" wrapText="1"/>
    </xf>
    <xf numFmtId="0" fontId="81" fillId="49" borderId="21" xfId="0" applyFont="1" applyFill="1" applyBorder="1" applyAlignment="1">
      <alignment horizontal="center" vertical="center" wrapText="1"/>
    </xf>
    <xf numFmtId="0" fontId="81" fillId="49" borderId="13" xfId="0" applyFont="1" applyFill="1" applyBorder="1" applyAlignment="1">
      <alignment horizontal="center" vertical="center" wrapText="1"/>
    </xf>
    <xf numFmtId="0" fontId="110" fillId="50" borderId="0" xfId="0" applyFont="1" applyFill="1" applyAlignment="1">
      <alignment horizontal="left" vertical="center"/>
    </xf>
    <xf numFmtId="0" fontId="80" fillId="33" borderId="28" xfId="0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90" fillId="33" borderId="30" xfId="0" applyFont="1" applyFill="1" applyBorder="1" applyAlignment="1">
      <alignment horizontal="center" vertical="center" wrapText="1"/>
    </xf>
    <xf numFmtId="0" fontId="90" fillId="33" borderId="31" xfId="0" applyFont="1" applyFill="1" applyBorder="1" applyAlignment="1">
      <alignment horizontal="center" vertical="center" wrapText="1"/>
    </xf>
    <xf numFmtId="0" fontId="90" fillId="33" borderId="32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right" vertical="center" wrapText="1" indent="2"/>
    </xf>
    <xf numFmtId="0" fontId="81" fillId="34" borderId="21" xfId="0" applyFont="1" applyFill="1" applyBorder="1" applyAlignment="1">
      <alignment horizontal="right" vertical="center" wrapText="1" indent="2"/>
    </xf>
    <xf numFmtId="0" fontId="81" fillId="34" borderId="13" xfId="0" applyFont="1" applyFill="1" applyBorder="1" applyAlignment="1">
      <alignment horizontal="right" vertical="center" wrapText="1" indent="2"/>
    </xf>
    <xf numFmtId="0" fontId="97" fillId="0" borderId="30" xfId="0" applyFont="1" applyBorder="1" applyAlignment="1">
      <alignment horizontal="center" vertical="center" wrapText="1"/>
    </xf>
    <xf numFmtId="0" fontId="97" fillId="0" borderId="32" xfId="0" applyFont="1" applyBorder="1" applyAlignment="1">
      <alignment horizontal="center" vertical="center" wrapText="1"/>
    </xf>
    <xf numFmtId="0" fontId="97" fillId="0" borderId="33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83" fillId="42" borderId="0" xfId="0" applyFont="1" applyFill="1" applyAlignment="1">
      <alignment horizontal="center" vertical="center" wrapText="1"/>
    </xf>
    <xf numFmtId="0" fontId="9" fillId="42" borderId="0" xfId="0" applyFont="1" applyFill="1" applyAlignment="1">
      <alignment horizontal="center" vertical="center" wrapText="1"/>
    </xf>
    <xf numFmtId="0" fontId="81" fillId="39" borderId="20" xfId="0" applyFont="1" applyFill="1" applyBorder="1" applyAlignment="1" applyProtection="1">
      <alignment horizontal="left" vertical="center" wrapText="1"/>
      <protection locked="0"/>
    </xf>
    <xf numFmtId="0" fontId="81" fillId="39" borderId="21" xfId="0" applyFont="1" applyFill="1" applyBorder="1" applyAlignment="1" applyProtection="1">
      <alignment horizontal="left" vertical="center" wrapText="1"/>
      <protection locked="0"/>
    </xf>
    <xf numFmtId="0" fontId="81" fillId="39" borderId="13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Alignment="1">
      <alignment horizontal="center" vertical="center" wrapText="1"/>
    </xf>
    <xf numFmtId="0" fontId="99" fillId="5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8</xdr:col>
      <xdr:colOff>38100</xdr:colOff>
      <xdr:row>4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8100" y="876300"/>
          <a:ext cx="762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76200</xdr:rowOff>
    </xdr:from>
    <xdr:to>
      <xdr:col>0</xdr:col>
      <xdr:colOff>962025</xdr:colOff>
      <xdr:row>3</xdr:row>
      <xdr:rowOff>123825</xdr:rowOff>
    </xdr:to>
    <xdr:pic>
      <xdr:nvPicPr>
        <xdr:cNvPr id="2" name="Picture 4" descr="S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RowColHeaders="0" zoomScalePageLayoutView="0" workbookViewId="0" topLeftCell="A4">
      <selection activeCell="B9" sqref="B9"/>
    </sheetView>
  </sheetViews>
  <sheetFormatPr defaultColWidth="9.140625" defaultRowHeight="15"/>
  <cols>
    <col min="1" max="1" width="132.28125" style="0" bestFit="1" customWidth="1"/>
    <col min="2" max="2" width="14.57421875" style="0" customWidth="1"/>
  </cols>
  <sheetData>
    <row r="1" spans="1:2" ht="18.75">
      <c r="A1" s="55" t="s">
        <v>219</v>
      </c>
      <c r="B1" s="56"/>
    </row>
    <row r="2" spans="1:2" ht="18.75">
      <c r="A2" s="74"/>
      <c r="B2" s="56"/>
    </row>
    <row r="3" spans="1:2" ht="18.75">
      <c r="A3" s="55" t="s">
        <v>220</v>
      </c>
      <c r="B3" s="56"/>
    </row>
    <row r="4" spans="1:2" ht="18.75">
      <c r="A4" s="74"/>
      <c r="B4" s="56"/>
    </row>
    <row r="5" spans="1:2" ht="18.75">
      <c r="A5" s="55" t="s">
        <v>216</v>
      </c>
      <c r="B5" s="56"/>
    </row>
    <row r="6" spans="1:2" ht="18.75">
      <c r="A6" s="74"/>
      <c r="B6" s="56"/>
    </row>
    <row r="7" spans="1:2" ht="18.75">
      <c r="A7" s="55" t="s">
        <v>224</v>
      </c>
      <c r="B7" s="56"/>
    </row>
    <row r="8" spans="1:2" ht="18.75">
      <c r="A8" s="74"/>
      <c r="B8" s="56"/>
    </row>
    <row r="9" spans="1:2" ht="18.75">
      <c r="A9" s="55" t="s">
        <v>80</v>
      </c>
      <c r="B9" s="75">
        <v>2016</v>
      </c>
    </row>
    <row r="10" spans="1:2" ht="18.75">
      <c r="A10" s="55" t="s">
        <v>217</v>
      </c>
      <c r="B10" s="75"/>
    </row>
    <row r="11" spans="1:2" ht="18.75">
      <c r="A11" s="55" t="s">
        <v>84</v>
      </c>
      <c r="B11" s="76"/>
    </row>
    <row r="12" spans="1:2" ht="18.75">
      <c r="A12" s="55" t="s">
        <v>218</v>
      </c>
      <c r="B12" s="75"/>
    </row>
  </sheetData>
  <sheetProtection password="CC5A" sheet="1" selectLockedCells="1"/>
  <dataValidations count="6">
    <dataValidation type="list" allowBlank="1" showInputMessage="1" showErrorMessage="1" sqref="B9">
      <formula1>"2013,2014,2015,2016,2017"</formula1>
    </dataValidation>
    <dataValidation type="list" allowBlank="1" showInputMessage="1" showErrorMessage="1" sqref="B10">
      <formula1>"3,5"</formula1>
    </dataValidation>
    <dataValidation type="list" allowBlank="1" showInputMessage="1" showErrorMessage="1" sqref="B12">
      <formula1>"Да, Не"</formula1>
    </dataValidation>
    <dataValidation type="list" allowBlank="1" showInputMessage="1" showErrorMessage="1" sqref="A8">
      <formula1>razdel62f</formula1>
    </dataValidation>
    <dataValidation type="list" allowBlank="1" showInputMessage="1" showErrorMessage="1" sqref="A2">
      <formula1>Fakultet</formula1>
    </dataValidation>
    <dataValidation type="list" allowBlank="1" showInputMessage="1" showErrorMessage="1" sqref="A4">
      <formula1>INDIRECT(VLOOKUP(A2,katedri2,2,FALSE))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5"/>
  <sheetViews>
    <sheetView showGridLines="0" tabSelected="1" workbookViewId="0" topLeftCell="A157">
      <selection activeCell="B183" sqref="B183:G183"/>
    </sheetView>
  </sheetViews>
  <sheetFormatPr defaultColWidth="9.140625" defaultRowHeight="15"/>
  <cols>
    <col min="1" max="1" width="19.00390625" style="0" customWidth="1"/>
    <col min="2" max="3" width="14.57421875" style="0" customWidth="1"/>
    <col min="4" max="4" width="13.7109375" style="0" customWidth="1"/>
    <col min="5" max="5" width="16.7109375" style="0" customWidth="1"/>
    <col min="7" max="7" width="11.00390625" style="0" customWidth="1"/>
    <col min="8" max="8" width="15.7109375" style="0" customWidth="1"/>
  </cols>
  <sheetData>
    <row r="1" spans="2:8" ht="23.25" customHeight="1">
      <c r="B1" s="289" t="s">
        <v>0</v>
      </c>
      <c r="C1" s="290"/>
      <c r="D1" s="290"/>
      <c r="E1" s="290"/>
      <c r="F1" s="290"/>
      <c r="G1" s="290"/>
      <c r="H1" s="290"/>
    </row>
    <row r="2" spans="2:8" ht="15">
      <c r="B2" s="259" t="str">
        <f>IF(Настройка!A2&lt;&gt;0,Настройка!A2,"Факултет: "" …………………………………………. """)</f>
        <v>Факултет: " …………………………………………. "</v>
      </c>
      <c r="C2" s="259"/>
      <c r="D2" s="259"/>
      <c r="E2" s="259"/>
      <c r="F2" s="259"/>
      <c r="G2" s="259"/>
      <c r="H2" s="259"/>
    </row>
    <row r="3" spans="2:8" ht="15">
      <c r="B3" s="259" t="str">
        <f>IF(Настройка!A4&lt;&gt;0,Настройка!A4,"Катедра: ""…………………………………………………..""")</f>
        <v>Катедра: "………………………………………………….."</v>
      </c>
      <c r="C3" s="259"/>
      <c r="D3" s="259"/>
      <c r="E3" s="259"/>
      <c r="F3" s="259"/>
      <c r="G3" s="259"/>
      <c r="H3" s="259"/>
    </row>
    <row r="11" ht="15">
      <c r="A11" s="6"/>
    </row>
    <row r="13" spans="1:8" ht="39.75">
      <c r="A13" s="260" t="s">
        <v>77</v>
      </c>
      <c r="B13" s="260"/>
      <c r="C13" s="260"/>
      <c r="D13" s="260"/>
      <c r="E13" s="260"/>
      <c r="F13" s="260"/>
      <c r="G13" s="260"/>
      <c r="H13" s="260"/>
    </row>
    <row r="14" spans="1:8" ht="39.75">
      <c r="A14" s="261" t="s">
        <v>78</v>
      </c>
      <c r="B14" s="261"/>
      <c r="C14" s="261"/>
      <c r="D14" s="261"/>
      <c r="E14" s="261"/>
      <c r="F14" s="261"/>
      <c r="G14" s="261"/>
      <c r="H14" s="261"/>
    </row>
    <row r="16" spans="4:11" ht="21.75" customHeight="1">
      <c r="D16" s="53" t="s">
        <v>215</v>
      </c>
      <c r="E16" s="52"/>
      <c r="F16" s="52"/>
      <c r="G16" s="52"/>
      <c r="H16" s="52"/>
      <c r="I16" s="52"/>
      <c r="J16" s="52"/>
      <c r="K16" s="52"/>
    </row>
    <row r="18" spans="1:8" ht="30">
      <c r="A18" s="262" t="str">
        <f>IF(Настройка!A6&lt;&gt;"",Настройка!A6,"(звание, степен, име презиме и фамилия)")</f>
        <v>(звание, степен, име презиме и фамилия)</v>
      </c>
      <c r="B18" s="262"/>
      <c r="C18" s="262"/>
      <c r="D18" s="262"/>
      <c r="E18" s="262"/>
      <c r="F18" s="262"/>
      <c r="G18" s="262"/>
      <c r="H18" s="262"/>
    </row>
    <row r="19" spans="1:8" ht="15">
      <c r="A19" s="198"/>
      <c r="B19" s="198"/>
      <c r="C19" s="198"/>
      <c r="D19" s="198"/>
      <c r="E19" s="198"/>
      <c r="F19" s="198"/>
      <c r="G19" s="198"/>
      <c r="H19" s="198"/>
    </row>
    <row r="30" spans="1:8" ht="53.25" customHeight="1">
      <c r="A30" s="266" t="str">
        <f>"Настоящият индивидуален атестационен отчет е изготвен въз основа на заповед на Ректора на СА „Д. А. Ценов” №"&amp;Настройка!B11</f>
        <v>Настоящият индивидуален атестационен отчет е изготвен въз основа на заповед на Ректора на СА „Д. А. Ценов” №</v>
      </c>
      <c r="B30" s="266"/>
      <c r="C30" s="266"/>
      <c r="D30" s="266"/>
      <c r="E30" s="266"/>
      <c r="F30" s="266"/>
      <c r="G30" s="266"/>
      <c r="H30" s="266"/>
    </row>
    <row r="35" spans="1:8" ht="27" customHeight="1">
      <c r="A35" s="272" t="s">
        <v>79</v>
      </c>
      <c r="B35" s="171" t="s">
        <v>1</v>
      </c>
      <c r="C35" s="171"/>
      <c r="D35" s="171"/>
      <c r="E35" s="171"/>
      <c r="F35" s="171"/>
      <c r="G35" s="171"/>
      <c r="H35" s="171"/>
    </row>
    <row r="36" spans="1:8" ht="15" customHeight="1">
      <c r="A36" s="272"/>
      <c r="B36" s="171"/>
      <c r="C36" s="171"/>
      <c r="D36" s="171"/>
      <c r="E36" s="171"/>
      <c r="F36" s="171"/>
      <c r="G36" s="171"/>
      <c r="H36" s="171"/>
    </row>
    <row r="37" spans="1:8" ht="15" customHeight="1">
      <c r="A37" s="94"/>
      <c r="B37" s="95"/>
      <c r="C37" s="95"/>
      <c r="D37" s="95"/>
      <c r="E37" s="95"/>
      <c r="F37" s="95"/>
      <c r="G37" s="95"/>
      <c r="H37" s="95"/>
    </row>
    <row r="38" spans="1:8" ht="25.5">
      <c r="A38" s="276" t="s">
        <v>2</v>
      </c>
      <c r="B38" s="276"/>
      <c r="C38" s="276"/>
      <c r="D38" s="276"/>
      <c r="E38" s="276"/>
      <c r="F38" s="276"/>
      <c r="G38" s="276"/>
      <c r="H38" s="276"/>
    </row>
    <row r="39" spans="1:8" s="60" customFormat="1" ht="13.5" customHeight="1">
      <c r="A39" s="88"/>
      <c r="B39" s="88"/>
      <c r="C39" s="88"/>
      <c r="D39" s="88"/>
      <c r="E39" s="88"/>
      <c r="F39" s="88"/>
      <c r="G39" s="88"/>
      <c r="H39" s="88"/>
    </row>
    <row r="40" spans="1:8" s="60" customFormat="1" ht="27" customHeight="1">
      <c r="A40" s="89" t="s">
        <v>257</v>
      </c>
      <c r="B40" s="291" t="s">
        <v>258</v>
      </c>
      <c r="C40" s="291"/>
      <c r="D40" s="291"/>
      <c r="E40" s="291"/>
      <c r="F40" s="291"/>
      <c r="G40" s="291"/>
      <c r="H40" s="291"/>
    </row>
    <row r="41" ht="14.25" customHeight="1"/>
    <row r="42" spans="1:9" ht="18.75" customHeight="1">
      <c r="A42" s="216" t="s">
        <v>264</v>
      </c>
      <c r="B42" s="147" t="s">
        <v>302</v>
      </c>
      <c r="C42" s="216"/>
      <c r="D42" s="216"/>
      <c r="E42" s="216"/>
      <c r="F42" s="216"/>
      <c r="G42" s="216"/>
      <c r="H42" s="216"/>
      <c r="I42" s="7"/>
    </row>
    <row r="43" spans="1:9" ht="36" customHeight="1">
      <c r="A43" s="216"/>
      <c r="B43" s="216"/>
      <c r="C43" s="216"/>
      <c r="D43" s="216"/>
      <c r="E43" s="216"/>
      <c r="F43" s="216"/>
      <c r="G43" s="216"/>
      <c r="H43" s="216"/>
      <c r="I43" s="7"/>
    </row>
    <row r="44" spans="4:5" ht="14.25" customHeight="1" thickBot="1">
      <c r="D44" s="267"/>
      <c r="E44" s="267"/>
    </row>
    <row r="45" spans="1:8" ht="44.25" customHeight="1" thickBot="1">
      <c r="A45" s="83" t="s">
        <v>3</v>
      </c>
      <c r="B45" s="83" t="s">
        <v>4</v>
      </c>
      <c r="C45" s="83" t="s">
        <v>5</v>
      </c>
      <c r="D45" s="263" t="s">
        <v>6</v>
      </c>
      <c r="E45" s="263"/>
      <c r="F45" s="263" t="s">
        <v>7</v>
      </c>
      <c r="G45" s="263"/>
      <c r="H45" s="263"/>
    </row>
    <row r="46" spans="1:8" ht="15.75" thickBot="1">
      <c r="A46" s="197" t="str">
        <f>"Учебна "&amp;Настройка!B9-4&amp;"/"&amp;TEXT((Настройка!B9-3),0)&amp;" год."</f>
        <v>Учебна 2012/2013 год.</v>
      </c>
      <c r="B46" s="197"/>
      <c r="C46" s="197"/>
      <c r="D46" s="197"/>
      <c r="E46" s="197"/>
      <c r="F46" s="197"/>
      <c r="G46" s="197"/>
      <c r="H46" s="197"/>
    </row>
    <row r="47" spans="1:8" ht="15.75" thickBot="1">
      <c r="A47" s="54" t="s">
        <v>8</v>
      </c>
      <c r="B47" s="138"/>
      <c r="C47" s="138"/>
      <c r="D47" s="196">
        <f>IF(C47&gt;0,ROUND(B47/C47,2),0)</f>
        <v>0</v>
      </c>
      <c r="E47" s="196"/>
      <c r="F47" s="179">
        <f>IF(B47&gt;0,VLOOKUP(D47,tablica311,2,TRUE),0)</f>
        <v>0</v>
      </c>
      <c r="G47" s="179"/>
      <c r="H47" s="179"/>
    </row>
    <row r="48" spans="1:8" ht="15.75" thickBot="1">
      <c r="A48" s="54" t="s">
        <v>9</v>
      </c>
      <c r="B48" s="138"/>
      <c r="C48" s="138"/>
      <c r="D48" s="196">
        <f>IF(C48&gt;0,ROUND(B48/C48,2),0)</f>
        <v>0</v>
      </c>
      <c r="E48" s="196"/>
      <c r="F48" s="179">
        <f>IF(B48&gt;0,VLOOKUP(D48,tablica311,2,TRUE),0)</f>
        <v>0</v>
      </c>
      <c r="G48" s="179"/>
      <c r="H48" s="179"/>
    </row>
    <row r="49" spans="1:8" ht="15.75" customHeight="1" thickBot="1">
      <c r="A49" s="180" t="s">
        <v>253</v>
      </c>
      <c r="B49" s="181"/>
      <c r="C49" s="181"/>
      <c r="D49" s="181"/>
      <c r="E49" s="182"/>
      <c r="F49" s="183">
        <f>ROUND((F47+F48)/2,1)</f>
        <v>0</v>
      </c>
      <c r="G49" s="183"/>
      <c r="H49" s="183"/>
    </row>
    <row r="50" spans="1:8" ht="15.75" customHeight="1" thickBot="1">
      <c r="A50" s="197" t="str">
        <f>"Учебна "&amp;Настройка!B9-3&amp;"/"&amp;TEXT((Настройка!B9-2),0)&amp;" год."</f>
        <v>Учебна 2013/2014 год.</v>
      </c>
      <c r="B50" s="197"/>
      <c r="C50" s="197"/>
      <c r="D50" s="197"/>
      <c r="E50" s="197"/>
      <c r="F50" s="197"/>
      <c r="G50" s="197"/>
      <c r="H50" s="197"/>
    </row>
    <row r="51" spans="1:8" ht="15.75" thickBot="1">
      <c r="A51" s="54" t="s">
        <v>8</v>
      </c>
      <c r="B51" s="138"/>
      <c r="C51" s="138"/>
      <c r="D51" s="196">
        <f>IF(C51&gt;0,ROUND(B51/C51,2),0)</f>
        <v>0</v>
      </c>
      <c r="E51" s="196"/>
      <c r="F51" s="179">
        <f>IF(B51&gt;0,VLOOKUP(D51,tablica311,2,TRUE),0)</f>
        <v>0</v>
      </c>
      <c r="G51" s="179"/>
      <c r="H51" s="179"/>
    </row>
    <row r="52" spans="1:8" ht="15.75" thickBot="1">
      <c r="A52" s="54" t="s">
        <v>9</v>
      </c>
      <c r="B52" s="138"/>
      <c r="C52" s="138"/>
      <c r="D52" s="196">
        <f>IF(C52&gt;0,ROUND(B52/C52,2),0)</f>
        <v>0</v>
      </c>
      <c r="E52" s="196"/>
      <c r="F52" s="179">
        <f>IF(B52&gt;0,VLOOKUP(D52,tablica311,2,TRUE),0)</f>
        <v>0</v>
      </c>
      <c r="G52" s="179"/>
      <c r="H52" s="179"/>
    </row>
    <row r="53" spans="1:8" ht="15.75" customHeight="1" thickBot="1">
      <c r="A53" s="180" t="s">
        <v>253</v>
      </c>
      <c r="B53" s="181"/>
      <c r="C53" s="181"/>
      <c r="D53" s="181"/>
      <c r="E53" s="182"/>
      <c r="F53" s="199">
        <f>ROUND((F51+F52)/2,1)</f>
        <v>0</v>
      </c>
      <c r="G53" s="199"/>
      <c r="H53" s="200"/>
    </row>
    <row r="54" spans="1:8" ht="15.75" customHeight="1" thickBot="1">
      <c r="A54" s="197" t="str">
        <f>"Учебна "&amp;Настройка!B9-2&amp;"/"&amp;TEXT((Настройка!B9-1),0)&amp;" год."</f>
        <v>Учебна 2014/2015 год.</v>
      </c>
      <c r="B54" s="197"/>
      <c r="C54" s="197"/>
      <c r="D54" s="197"/>
      <c r="E54" s="197"/>
      <c r="F54" s="197"/>
      <c r="G54" s="197"/>
      <c r="H54" s="197"/>
    </row>
    <row r="55" spans="1:8" ht="15.75" thickBot="1">
      <c r="A55" s="54" t="s">
        <v>8</v>
      </c>
      <c r="B55" s="138"/>
      <c r="C55" s="138"/>
      <c r="D55" s="196">
        <f>IF(C55&gt;0,ROUND(B55/C55,2),0)</f>
        <v>0</v>
      </c>
      <c r="E55" s="196"/>
      <c r="F55" s="179">
        <f>IF(B55&gt;0,VLOOKUP(D55,tablica311,2,TRUE),0)</f>
        <v>0</v>
      </c>
      <c r="G55" s="179"/>
      <c r="H55" s="179"/>
    </row>
    <row r="56" spans="1:8" ht="15.75" thickBot="1">
      <c r="A56" s="54" t="s">
        <v>9</v>
      </c>
      <c r="B56" s="138"/>
      <c r="C56" s="138"/>
      <c r="D56" s="196">
        <f>IF(C56&gt;0,ROUND(B56/C56,2),0)</f>
        <v>0</v>
      </c>
      <c r="E56" s="196"/>
      <c r="F56" s="179">
        <f>IF(B56&gt;0,VLOOKUP(D56,tablica311,2,TRUE),0)</f>
        <v>0</v>
      </c>
      <c r="G56" s="179"/>
      <c r="H56" s="179"/>
    </row>
    <row r="57" spans="1:8" ht="15.75" customHeight="1" thickBot="1">
      <c r="A57" s="180" t="s">
        <v>253</v>
      </c>
      <c r="B57" s="181"/>
      <c r="C57" s="181"/>
      <c r="D57" s="181"/>
      <c r="E57" s="182"/>
      <c r="F57" s="183">
        <f>ROUND((F55+F56)/2,1)</f>
        <v>0</v>
      </c>
      <c r="G57" s="183"/>
      <c r="H57" s="183"/>
    </row>
    <row r="58" spans="1:8" ht="15.75" customHeight="1" thickBot="1">
      <c r="A58" s="156" t="s">
        <v>10</v>
      </c>
      <c r="B58" s="156"/>
      <c r="C58" s="156"/>
      <c r="D58" s="156"/>
      <c r="E58" s="156"/>
      <c r="F58" s="183">
        <f>F49+F53+F57</f>
        <v>0</v>
      </c>
      <c r="G58" s="183">
        <f>F49+F53+F57</f>
        <v>0</v>
      </c>
      <c r="H58" s="183"/>
    </row>
    <row r="59" spans="1:8" ht="15.75" customHeight="1" thickBot="1">
      <c r="A59" s="156" t="s">
        <v>11</v>
      </c>
      <c r="B59" s="156"/>
      <c r="C59" s="156"/>
      <c r="D59" s="156"/>
      <c r="E59" s="156"/>
      <c r="F59" s="268">
        <v>3</v>
      </c>
      <c r="G59" s="268">
        <v>3</v>
      </c>
      <c r="H59" s="268"/>
    </row>
    <row r="60" spans="1:8" ht="15.75" thickBot="1">
      <c r="A60" s="156" t="s">
        <v>294</v>
      </c>
      <c r="B60" s="156"/>
      <c r="C60" s="156"/>
      <c r="D60" s="156"/>
      <c r="E60" s="156"/>
      <c r="F60" s="183">
        <f>ROUND(F58/F59,1)</f>
        <v>0</v>
      </c>
      <c r="G60" s="183">
        <f>G58/G59</f>
        <v>0</v>
      </c>
      <c r="H60" s="183"/>
    </row>
    <row r="65" spans="1:8" ht="15" customHeight="1">
      <c r="A65" s="216" t="s">
        <v>263</v>
      </c>
      <c r="B65" s="147" t="s">
        <v>301</v>
      </c>
      <c r="C65" s="216"/>
      <c r="D65" s="216"/>
      <c r="E65" s="216"/>
      <c r="F65" s="216"/>
      <c r="G65" s="216"/>
      <c r="H65" s="216"/>
    </row>
    <row r="66" spans="1:8" ht="15" customHeight="1">
      <c r="A66" s="258"/>
      <c r="B66" s="216"/>
      <c r="C66" s="216"/>
      <c r="D66" s="216"/>
      <c r="E66" s="216"/>
      <c r="F66" s="216"/>
      <c r="G66" s="216"/>
      <c r="H66" s="216"/>
    </row>
    <row r="67" spans="1:8" ht="50.25" customHeight="1">
      <c r="A67" s="258"/>
      <c r="B67" s="216"/>
      <c r="C67" s="216"/>
      <c r="D67" s="216"/>
      <c r="E67" s="216"/>
      <c r="F67" s="216"/>
      <c r="G67" s="216"/>
      <c r="H67" s="216"/>
    </row>
    <row r="68" ht="15.75" thickBot="1"/>
    <row r="69" spans="1:8" ht="15.75" thickBot="1">
      <c r="A69" s="244" t="s">
        <v>12</v>
      </c>
      <c r="B69" s="245"/>
      <c r="C69" s="277" t="s">
        <v>247</v>
      </c>
      <c r="D69" s="277" t="s">
        <v>343</v>
      </c>
      <c r="E69" s="277" t="s">
        <v>85</v>
      </c>
      <c r="F69" s="242" t="s">
        <v>96</v>
      </c>
      <c r="G69" s="243"/>
      <c r="H69" s="264" t="s">
        <v>13</v>
      </c>
    </row>
    <row r="70" spans="1:8" ht="21.75" customHeight="1" thickBot="1">
      <c r="A70" s="246"/>
      <c r="B70" s="247"/>
      <c r="C70" s="278"/>
      <c r="D70" s="278"/>
      <c r="E70" s="278"/>
      <c r="F70" s="82" t="s">
        <v>86</v>
      </c>
      <c r="G70" s="82" t="s">
        <v>113</v>
      </c>
      <c r="H70" s="265"/>
    </row>
    <row r="71" spans="1:8" ht="15.75" customHeight="1" thickBot="1">
      <c r="A71" s="273" t="str">
        <f>"Учебни  "&amp;Настройка!B9-4&amp;"/"&amp;TEXT((Настройка!B9-3),0)&amp;", "&amp;Настройка!B9-3&amp;"/"&amp;TEXT((Настройка!B9-2),0)&amp;", "&amp;Настройка!B9-2&amp;"/"&amp;TEXT((Настройка!B9-1),0)&amp;" год."</f>
        <v>Учебни  2012/2013, 2013/2014, 2014/2015 год.</v>
      </c>
      <c r="B71" s="274"/>
      <c r="C71" s="274"/>
      <c r="D71" s="274"/>
      <c r="E71" s="274"/>
      <c r="F71" s="274"/>
      <c r="G71" s="274"/>
      <c r="H71" s="275"/>
    </row>
    <row r="72" spans="1:8" ht="15.75" thickBot="1">
      <c r="A72" s="160"/>
      <c r="B72" s="162"/>
      <c r="C72" s="64"/>
      <c r="D72" s="64"/>
      <c r="E72" s="15">
        <f>IF(C72="Да",2,0)+IF(D72="Да",2,0)</f>
        <v>0</v>
      </c>
      <c r="F72" s="64"/>
      <c r="G72" s="115">
        <f>IF(F72&lt;&gt;"",VLOOKUP(F72,tablica312b,2,FALSE),0)</f>
        <v>0</v>
      </c>
      <c r="H72" s="116">
        <f>E72*G72</f>
        <v>0</v>
      </c>
    </row>
    <row r="73" spans="1:8" ht="15.75" thickBot="1">
      <c r="A73" s="160"/>
      <c r="B73" s="162"/>
      <c r="C73" s="64"/>
      <c r="D73" s="64"/>
      <c r="E73" s="15">
        <f>IF(C73="Да",2,0)+IF(D73="Да",2,0)</f>
        <v>0</v>
      </c>
      <c r="F73" s="64"/>
      <c r="G73" s="115">
        <f>IF(F73&lt;&gt;"",VLOOKUP(F73,tablica312b,2,FALSE),0)</f>
        <v>0</v>
      </c>
      <c r="H73" s="116">
        <f>E73*G73</f>
        <v>0</v>
      </c>
    </row>
    <row r="74" spans="1:8" ht="15.75" thickBot="1">
      <c r="A74" s="160"/>
      <c r="B74" s="162"/>
      <c r="C74" s="64"/>
      <c r="D74" s="64"/>
      <c r="E74" s="15">
        <f>IF(C74="Да",2,0)+IF(D74="Да",2,0)</f>
        <v>0</v>
      </c>
      <c r="F74" s="64"/>
      <c r="G74" s="115">
        <f>IF(F74&lt;&gt;"",VLOOKUP(F74,tablica312b,2,FALSE),0)</f>
        <v>0</v>
      </c>
      <c r="H74" s="116">
        <f>E74*G74</f>
        <v>0</v>
      </c>
    </row>
    <row r="75" spans="1:8" ht="15.75" thickBot="1">
      <c r="A75" s="160"/>
      <c r="B75" s="162"/>
      <c r="C75" s="64"/>
      <c r="D75" s="64"/>
      <c r="E75" s="15">
        <f>IF(C75="Да",2,0)+IF(D75="Да",2,0)</f>
        <v>0</v>
      </c>
      <c r="F75" s="64"/>
      <c r="G75" s="115">
        <f>IF(F75&lt;&gt;"",VLOOKUP(F75,tablica312b,2,FALSE),0)</f>
        <v>0</v>
      </c>
      <c r="H75" s="116">
        <f>E75*G75</f>
        <v>0</v>
      </c>
    </row>
    <row r="76" spans="1:8" ht="15.75" customHeight="1" thickBot="1">
      <c r="A76" s="255" t="s">
        <v>114</v>
      </c>
      <c r="B76" s="256"/>
      <c r="C76" s="256"/>
      <c r="D76" s="256"/>
      <c r="E76" s="256"/>
      <c r="F76" s="256"/>
      <c r="G76" s="257"/>
      <c r="H76" s="117">
        <f>H72+H73+H74+H75</f>
        <v>0</v>
      </c>
    </row>
    <row r="77" spans="1:8" ht="15.75" thickBot="1">
      <c r="A77" s="231" t="s">
        <v>342</v>
      </c>
      <c r="B77" s="232"/>
      <c r="C77" s="232"/>
      <c r="D77" s="232"/>
      <c r="E77" s="232"/>
      <c r="F77" s="232"/>
      <c r="G77" s="233"/>
      <c r="H77" s="119">
        <f>IF(H76&lt;=8,H76,8)</f>
        <v>0</v>
      </c>
    </row>
    <row r="78" ht="15.75" thickBot="1"/>
    <row r="79" spans="1:8" ht="19.5" customHeight="1" thickBot="1">
      <c r="A79" s="249" t="s">
        <v>252</v>
      </c>
      <c r="B79" s="250"/>
      <c r="C79" s="250"/>
      <c r="D79" s="250"/>
      <c r="E79" s="250"/>
      <c r="F79" s="250"/>
      <c r="G79" s="251"/>
      <c r="H79" s="119">
        <f>ROUND((G60+H77)/2,1)</f>
        <v>0</v>
      </c>
    </row>
    <row r="80" spans="1:8" s="60" customFormat="1" ht="15" customHeight="1">
      <c r="A80" s="62"/>
      <c r="B80" s="62"/>
      <c r="C80" s="62"/>
      <c r="D80" s="62"/>
      <c r="E80" s="62"/>
      <c r="F80" s="62"/>
      <c r="G80" s="62"/>
      <c r="H80" s="63"/>
    </row>
    <row r="81" spans="1:8" s="60" customFormat="1" ht="15" customHeight="1">
      <c r="A81" s="62"/>
      <c r="B81" s="62"/>
      <c r="C81" s="62"/>
      <c r="D81" s="62"/>
      <c r="E81" s="62"/>
      <c r="F81" s="62"/>
      <c r="G81" s="62"/>
      <c r="H81" s="63"/>
    </row>
    <row r="82" spans="1:8" s="60" customFormat="1" ht="15" customHeight="1">
      <c r="A82" s="62"/>
      <c r="B82" s="62"/>
      <c r="C82" s="62"/>
      <c r="D82" s="62"/>
      <c r="E82" s="62"/>
      <c r="F82" s="62"/>
      <c r="G82" s="62"/>
      <c r="H82" s="63"/>
    </row>
    <row r="83" spans="1:8" ht="43.5" customHeight="1">
      <c r="A83" s="89" t="s">
        <v>255</v>
      </c>
      <c r="B83" s="291" t="s">
        <v>256</v>
      </c>
      <c r="C83" s="291"/>
      <c r="D83" s="291"/>
      <c r="E83" s="291"/>
      <c r="F83" s="291"/>
      <c r="G83" s="291"/>
      <c r="H83" s="291"/>
    </row>
    <row r="85" spans="1:8" ht="31.5">
      <c r="A85" s="90" t="s">
        <v>300</v>
      </c>
      <c r="B85" s="147" t="s">
        <v>292</v>
      </c>
      <c r="C85" s="296"/>
      <c r="D85" s="296"/>
      <c r="E85" s="296"/>
      <c r="F85" s="296"/>
      <c r="G85" s="296"/>
      <c r="H85" s="296"/>
    </row>
    <row r="86" ht="15.75" thickBot="1"/>
    <row r="87" spans="1:8" ht="43.5" customHeight="1" thickBot="1">
      <c r="A87" s="190" t="s">
        <v>134</v>
      </c>
      <c r="B87" s="192"/>
      <c r="C87" s="80" t="s">
        <v>248</v>
      </c>
      <c r="D87" s="80" t="s">
        <v>135</v>
      </c>
      <c r="E87" s="81" t="s">
        <v>136</v>
      </c>
      <c r="F87" s="80" t="s">
        <v>137</v>
      </c>
      <c r="G87" s="82" t="s">
        <v>233</v>
      </c>
      <c r="H87" s="81" t="s">
        <v>138</v>
      </c>
    </row>
    <row r="88" spans="1:8" ht="15.75" customHeight="1" thickBot="1">
      <c r="A88" s="205"/>
      <c r="B88" s="207"/>
      <c r="C88" s="65"/>
      <c r="D88" s="66"/>
      <c r="E88" s="31">
        <f>IF(D88&gt;0,ROUND(C88/D88,2),0)</f>
        <v>0</v>
      </c>
      <c r="F88" s="66"/>
      <c r="G88" s="67"/>
      <c r="H88" s="31">
        <f>E88*IF($F$92&lt;&gt;0,ROUND(F88/$F$92,2),0)</f>
        <v>0</v>
      </c>
    </row>
    <row r="89" spans="1:8" ht="15.75" thickBot="1">
      <c r="A89" s="205"/>
      <c r="B89" s="207"/>
      <c r="C89" s="65"/>
      <c r="D89" s="66"/>
      <c r="E89" s="31">
        <f>IF(D89&gt;0,ROUND(C89/D89,2),0)</f>
        <v>0</v>
      </c>
      <c r="F89" s="66"/>
      <c r="G89" s="67"/>
      <c r="H89" s="31">
        <f>E89*IF($F$92&lt;&gt;0,ROUND(F89/$F$92,2),0)</f>
        <v>0</v>
      </c>
    </row>
    <row r="90" spans="1:8" ht="15.75" thickBot="1">
      <c r="A90" s="205"/>
      <c r="B90" s="207"/>
      <c r="C90" s="65"/>
      <c r="D90" s="66"/>
      <c r="E90" s="31">
        <f>IF(D90&gt;0,ROUND(C90/D90,2),0)</f>
        <v>0</v>
      </c>
      <c r="F90" s="66"/>
      <c r="G90" s="67"/>
      <c r="H90" s="31">
        <f>E90*IF($F$92&lt;&gt;0,ROUND(F90/$F$92,2),0)</f>
        <v>0</v>
      </c>
    </row>
    <row r="91" spans="1:8" ht="15.75" thickBot="1">
      <c r="A91" s="205"/>
      <c r="B91" s="207"/>
      <c r="C91" s="65"/>
      <c r="D91" s="66"/>
      <c r="E91" s="31">
        <f>IF(D91&gt;0,ROUND(C91/D91,2),0)</f>
        <v>0</v>
      </c>
      <c r="F91" s="66"/>
      <c r="G91" s="67"/>
      <c r="H91" s="31">
        <f>E91*IF($F$92&lt;&gt;0,ROUND(F91/$F$92,2),0)</f>
        <v>0</v>
      </c>
    </row>
    <row r="92" spans="1:8" ht="15.75" thickBot="1">
      <c r="A92" s="163" t="s">
        <v>139</v>
      </c>
      <c r="B92" s="164"/>
      <c r="C92" s="164"/>
      <c r="D92" s="164"/>
      <c r="E92" s="176"/>
      <c r="F92" s="30">
        <f>SUM(F88:F91)</f>
        <v>0</v>
      </c>
      <c r="G92" s="30">
        <f>SUM(G88:G91)</f>
        <v>0</v>
      </c>
      <c r="H92" s="32">
        <f>SUM(H88:H91)</f>
        <v>0</v>
      </c>
    </row>
    <row r="93" spans="1:8" ht="15.75" thickBot="1">
      <c r="A93" s="231" t="s">
        <v>242</v>
      </c>
      <c r="B93" s="232"/>
      <c r="C93" s="232"/>
      <c r="D93" s="232"/>
      <c r="E93" s="232"/>
      <c r="F93" s="232"/>
      <c r="G93" s="233"/>
      <c r="H93" s="118">
        <f>VLOOKUP(H92,tablica361,2,TRUE)</f>
        <v>0</v>
      </c>
    </row>
    <row r="95" spans="1:8" ht="63" customHeight="1">
      <c r="A95" s="104" t="s">
        <v>319</v>
      </c>
      <c r="B95" s="149" t="s">
        <v>358</v>
      </c>
      <c r="C95" s="149"/>
      <c r="D95" s="149"/>
      <c r="E95" s="149"/>
      <c r="F95" s="149"/>
      <c r="G95" s="149"/>
      <c r="H95" s="149"/>
    </row>
    <row r="96" ht="15.75" thickBot="1"/>
    <row r="97" spans="1:8" ht="18" customHeight="1" thickBot="1">
      <c r="A97" s="231" t="s">
        <v>251</v>
      </c>
      <c r="B97" s="232"/>
      <c r="C97" s="232"/>
      <c r="D97" s="232"/>
      <c r="E97" s="232"/>
      <c r="F97" s="232"/>
      <c r="G97" s="233"/>
      <c r="H97" s="119">
        <f>IF(COUNTIF(G88:G91,"Да")&gt;0,2,0)+(H93)</f>
        <v>0</v>
      </c>
    </row>
    <row r="98" spans="1:8" ht="15" customHeight="1">
      <c r="A98" s="73"/>
      <c r="B98" s="73"/>
      <c r="C98" s="73"/>
      <c r="D98" s="73"/>
      <c r="E98" s="73"/>
      <c r="F98" s="73"/>
      <c r="G98" s="73"/>
      <c r="H98" s="63"/>
    </row>
    <row r="100" spans="1:8" ht="42" customHeight="1">
      <c r="A100" s="89" t="s">
        <v>259</v>
      </c>
      <c r="B100" s="292" t="s">
        <v>260</v>
      </c>
      <c r="C100" s="292"/>
      <c r="D100" s="292"/>
      <c r="E100" s="292"/>
      <c r="F100" s="292"/>
      <c r="G100" s="292"/>
      <c r="H100" s="292"/>
    </row>
    <row r="101" spans="1:8" ht="15" customHeight="1">
      <c r="A101" s="103"/>
      <c r="B101" s="93"/>
      <c r="C101" s="93"/>
      <c r="D101" s="93"/>
      <c r="E101" s="93"/>
      <c r="F101" s="93"/>
      <c r="G101" s="93"/>
      <c r="H101" s="93"/>
    </row>
    <row r="102" spans="1:8" ht="15">
      <c r="A102" s="216" t="s">
        <v>265</v>
      </c>
      <c r="B102" s="147" t="s">
        <v>344</v>
      </c>
      <c r="C102" s="216"/>
      <c r="D102" s="216"/>
      <c r="E102" s="216"/>
      <c r="F102" s="216"/>
      <c r="G102" s="216"/>
      <c r="H102" s="216"/>
    </row>
    <row r="103" spans="1:8" ht="15">
      <c r="A103" s="258"/>
      <c r="B103" s="216"/>
      <c r="C103" s="216"/>
      <c r="D103" s="216"/>
      <c r="E103" s="216"/>
      <c r="F103" s="216"/>
      <c r="G103" s="216"/>
      <c r="H103" s="216"/>
    </row>
    <row r="104" spans="1:8" ht="26.25" customHeight="1">
      <c r="A104" s="258"/>
      <c r="B104" s="216"/>
      <c r="C104" s="216"/>
      <c r="D104" s="216"/>
      <c r="E104" s="216"/>
      <c r="F104" s="216"/>
      <c r="G104" s="216"/>
      <c r="H104" s="216"/>
    </row>
    <row r="105" ht="15.75" thickBot="1"/>
    <row r="106" spans="1:8" ht="39" customHeight="1" thickBot="1">
      <c r="A106" s="279" t="s">
        <v>320</v>
      </c>
      <c r="B106" s="280"/>
      <c r="C106" s="280"/>
      <c r="D106" s="280"/>
      <c r="E106" s="280"/>
      <c r="F106" s="280"/>
      <c r="G106" s="281"/>
      <c r="H106" s="2" t="s">
        <v>244</v>
      </c>
    </row>
    <row r="107" spans="1:8" ht="15.75" thickBot="1">
      <c r="A107" s="269"/>
      <c r="B107" s="270"/>
      <c r="C107" s="270"/>
      <c r="D107" s="270"/>
      <c r="E107" s="270"/>
      <c r="F107" s="270"/>
      <c r="G107" s="271"/>
      <c r="H107" s="68"/>
    </row>
    <row r="108" spans="1:8" ht="15.75" thickBot="1">
      <c r="A108" s="269"/>
      <c r="B108" s="270"/>
      <c r="C108" s="270"/>
      <c r="D108" s="270"/>
      <c r="E108" s="270"/>
      <c r="F108" s="270"/>
      <c r="G108" s="271"/>
      <c r="H108" s="68"/>
    </row>
    <row r="109" spans="1:8" ht="15.75" thickBot="1">
      <c r="A109" s="269"/>
      <c r="B109" s="270"/>
      <c r="C109" s="270"/>
      <c r="D109" s="270"/>
      <c r="E109" s="270"/>
      <c r="F109" s="270"/>
      <c r="G109" s="271"/>
      <c r="H109" s="68"/>
    </row>
    <row r="110" spans="1:8" ht="15.75" thickBot="1">
      <c r="A110" s="269"/>
      <c r="B110" s="270"/>
      <c r="C110" s="270"/>
      <c r="D110" s="270"/>
      <c r="E110" s="270"/>
      <c r="F110" s="270"/>
      <c r="G110" s="271"/>
      <c r="H110" s="68"/>
    </row>
    <row r="111" spans="1:8" ht="15" customHeight="1" thickBot="1">
      <c r="A111" s="252" t="s">
        <v>228</v>
      </c>
      <c r="B111" s="253"/>
      <c r="C111" s="253"/>
      <c r="D111" s="253"/>
      <c r="E111" s="253"/>
      <c r="F111" s="253"/>
      <c r="G111" s="254"/>
      <c r="H111" s="68"/>
    </row>
    <row r="112" spans="1:8" ht="15.75" thickBot="1">
      <c r="A112" s="151" t="s">
        <v>91</v>
      </c>
      <c r="B112" s="151"/>
      <c r="C112" s="151"/>
      <c r="D112" s="151"/>
      <c r="E112" s="151"/>
      <c r="F112" s="151"/>
      <c r="G112" s="151"/>
      <c r="H112" s="120">
        <f>SUM(H107:H111)</f>
        <v>0</v>
      </c>
    </row>
    <row r="113" spans="1:8" ht="15.75" thickBot="1">
      <c r="A113" s="151" t="s">
        <v>92</v>
      </c>
      <c r="B113" s="151"/>
      <c r="C113" s="151"/>
      <c r="D113" s="151"/>
      <c r="E113" s="151"/>
      <c r="F113" s="151"/>
      <c r="G113" s="151"/>
      <c r="H113" s="120">
        <f>Настройка!B10</f>
        <v>0</v>
      </c>
    </row>
    <row r="114" spans="1:8" ht="15.75" thickBot="1">
      <c r="A114" s="151" t="s">
        <v>249</v>
      </c>
      <c r="B114" s="151"/>
      <c r="C114" s="151"/>
      <c r="D114" s="151"/>
      <c r="E114" s="151"/>
      <c r="F114" s="151"/>
      <c r="G114" s="151"/>
      <c r="H114" s="121">
        <f>IF(H113&gt;0,ROUND(H112/H113,1),0)</f>
        <v>0</v>
      </c>
    </row>
    <row r="115" spans="1:8" ht="15.75" thickBot="1">
      <c r="A115" s="241" t="s">
        <v>293</v>
      </c>
      <c r="B115" s="241"/>
      <c r="C115" s="241"/>
      <c r="D115" s="241"/>
      <c r="E115" s="241"/>
      <c r="F115" s="241"/>
      <c r="G115" s="241"/>
      <c r="H115" s="113">
        <f>VLOOKUP(H114,tablica321,2,TRUE)</f>
        <v>0</v>
      </c>
    </row>
    <row r="117" spans="1:8" ht="54" customHeight="1">
      <c r="A117" s="104" t="s">
        <v>319</v>
      </c>
      <c r="B117" s="149" t="s">
        <v>345</v>
      </c>
      <c r="C117" s="149"/>
      <c r="D117" s="149"/>
      <c r="E117" s="149"/>
      <c r="F117" s="149"/>
      <c r="G117" s="149"/>
      <c r="H117" s="149"/>
    </row>
    <row r="119" spans="1:8" ht="15">
      <c r="A119" s="216" t="s">
        <v>266</v>
      </c>
      <c r="B119" s="147" t="s">
        <v>321</v>
      </c>
      <c r="C119" s="216"/>
      <c r="D119" s="216"/>
      <c r="E119" s="216"/>
      <c r="F119" s="216"/>
      <c r="G119" s="216"/>
      <c r="H119" s="216"/>
    </row>
    <row r="120" spans="1:8" ht="15">
      <c r="A120" s="258"/>
      <c r="B120" s="216"/>
      <c r="C120" s="216"/>
      <c r="D120" s="216"/>
      <c r="E120" s="216"/>
      <c r="F120" s="216"/>
      <c r="G120" s="216"/>
      <c r="H120" s="216"/>
    </row>
    <row r="121" spans="1:8" ht="15">
      <c r="A121" s="258"/>
      <c r="B121" s="216"/>
      <c r="C121" s="216"/>
      <c r="D121" s="216"/>
      <c r="E121" s="216"/>
      <c r="F121" s="216"/>
      <c r="G121" s="216"/>
      <c r="H121" s="216"/>
    </row>
    <row r="122" ht="15.75" thickBot="1"/>
    <row r="123" spans="1:8" ht="54.75" customHeight="1" thickBot="1">
      <c r="A123" s="217" t="s">
        <v>322</v>
      </c>
      <c r="B123" s="218"/>
      <c r="C123" s="219"/>
      <c r="D123" s="86" t="s">
        <v>303</v>
      </c>
      <c r="E123" s="27" t="s">
        <v>115</v>
      </c>
      <c r="F123" s="211" t="s">
        <v>225</v>
      </c>
      <c r="G123" s="211"/>
      <c r="H123" s="58" t="s">
        <v>13</v>
      </c>
    </row>
    <row r="124" spans="1:8" ht="15.75" thickBot="1">
      <c r="A124" s="160"/>
      <c r="B124" s="161"/>
      <c r="C124" s="162"/>
      <c r="D124" s="69"/>
      <c r="E124" s="69"/>
      <c r="F124" s="240"/>
      <c r="G124" s="240"/>
      <c r="H124" s="122">
        <f>IF(A124&lt;&gt;"",2,0)*IF(D124="Да",0.5,1)*IF(E124="Да",2,1)*IF(F124="Да",1.2,1)</f>
        <v>0</v>
      </c>
    </row>
    <row r="125" spans="1:8" ht="15.75" thickBot="1">
      <c r="A125" s="160"/>
      <c r="B125" s="161"/>
      <c r="C125" s="162"/>
      <c r="D125" s="69"/>
      <c r="E125" s="69"/>
      <c r="F125" s="240"/>
      <c r="G125" s="240"/>
      <c r="H125" s="122">
        <f>IF(A125&lt;&gt;"",2,0)*IF(D125="Да",0.5,1)*IF(E125="Да",2,1)*IF(F125="Да",1.2,1)</f>
        <v>0</v>
      </c>
    </row>
    <row r="126" spans="1:8" ht="15.75" thickBot="1">
      <c r="A126" s="160"/>
      <c r="B126" s="161"/>
      <c r="C126" s="162"/>
      <c r="D126" s="69"/>
      <c r="E126" s="69"/>
      <c r="F126" s="240"/>
      <c r="G126" s="240"/>
      <c r="H126" s="122">
        <f>IF(A126&lt;&gt;"",2,0)*IF(D126="Да",0.5,1)*IF(E126="Да",2,1)*IF(F126="Да",1.2,1)</f>
        <v>0</v>
      </c>
    </row>
    <row r="127" spans="1:8" ht="15.75" thickBot="1">
      <c r="A127" s="160"/>
      <c r="B127" s="161"/>
      <c r="C127" s="162"/>
      <c r="D127" s="69"/>
      <c r="E127" s="69"/>
      <c r="F127" s="240"/>
      <c r="G127" s="240"/>
      <c r="H127" s="122">
        <f>IF(A127&lt;&gt;"",2,0)*IF(D127="Да",0.5,1)*IF(E127="Да",2,1)*IF(F127="Да",1.2,1)</f>
        <v>0</v>
      </c>
    </row>
    <row r="128" spans="1:8" ht="15.75" thickBot="1">
      <c r="A128" s="282" t="s">
        <v>97</v>
      </c>
      <c r="B128" s="283"/>
      <c r="C128" s="283"/>
      <c r="D128" s="283"/>
      <c r="E128" s="283"/>
      <c r="F128" s="283"/>
      <c r="G128" s="284"/>
      <c r="H128" s="123">
        <f>SUM(H124:H127)</f>
        <v>0</v>
      </c>
    </row>
    <row r="129" ht="15.75" thickBot="1"/>
    <row r="130" spans="1:8" ht="57.75" customHeight="1" thickBot="1">
      <c r="A130" s="217" t="s">
        <v>230</v>
      </c>
      <c r="B130" s="218"/>
      <c r="C130" s="219"/>
      <c r="D130" s="86" t="s">
        <v>327</v>
      </c>
      <c r="E130" s="27" t="s">
        <v>115</v>
      </c>
      <c r="F130" s="211" t="s">
        <v>225</v>
      </c>
      <c r="G130" s="211"/>
      <c r="H130" s="58" t="s">
        <v>13</v>
      </c>
    </row>
    <row r="131" spans="1:8" ht="15.75" thickBot="1">
      <c r="A131" s="160"/>
      <c r="B131" s="161"/>
      <c r="C131" s="162"/>
      <c r="D131" s="69"/>
      <c r="E131" s="69"/>
      <c r="F131" s="240"/>
      <c r="G131" s="240"/>
      <c r="H131" s="122">
        <f>IF(A131&lt;&gt;"",1,0)*IF(D131="Да",0.5,1)*IF(E131="Да",2,1)*IF(F131="Да",1.2,1)</f>
        <v>0</v>
      </c>
    </row>
    <row r="132" spans="1:8" ht="15.75" thickBot="1">
      <c r="A132" s="160"/>
      <c r="B132" s="161"/>
      <c r="C132" s="162"/>
      <c r="D132" s="69"/>
      <c r="E132" s="69"/>
      <c r="F132" s="240"/>
      <c r="G132" s="240"/>
      <c r="H132" s="122">
        <f>IF(A132&lt;&gt;"",1,0)*IF(D132="Да",0.5,1)*IF(E132="Да",2,1)*IF(F132="Да",1.2,1)</f>
        <v>0</v>
      </c>
    </row>
    <row r="133" spans="1:8" ht="15.75" thickBot="1">
      <c r="A133" s="160"/>
      <c r="B133" s="161"/>
      <c r="C133" s="162"/>
      <c r="D133" s="69"/>
      <c r="E133" s="69"/>
      <c r="F133" s="240"/>
      <c r="G133" s="240"/>
      <c r="H133" s="122">
        <f>IF(A133&lt;&gt;"",1,0)*IF(D133="Да",0.5,1)*IF(E133="Да",2,1)*IF(F133="Да",1.2,1)</f>
        <v>0</v>
      </c>
    </row>
    <row r="134" spans="1:8" ht="15.75" thickBot="1">
      <c r="A134" s="160"/>
      <c r="B134" s="161"/>
      <c r="C134" s="162"/>
      <c r="D134" s="69"/>
      <c r="E134" s="69"/>
      <c r="F134" s="240"/>
      <c r="G134" s="240"/>
      <c r="H134" s="122">
        <f>IF(A134&lt;&gt;"",1,0)*IF(D134="Да",0.5,1)*IF(E134="Да",2,1)*IF(F134="Да",1.2,1)</f>
        <v>0</v>
      </c>
    </row>
    <row r="135" spans="1:8" ht="15.75" thickBot="1">
      <c r="A135" s="282" t="s">
        <v>97</v>
      </c>
      <c r="B135" s="283"/>
      <c r="C135" s="283"/>
      <c r="D135" s="283"/>
      <c r="E135" s="283"/>
      <c r="F135" s="283"/>
      <c r="G135" s="284"/>
      <c r="H135" s="124">
        <f>SUM(H131:H134)</f>
        <v>0</v>
      </c>
    </row>
    <row r="136" ht="15.75" thickBot="1"/>
    <row r="137" spans="1:7" ht="60" customHeight="1" thickBot="1">
      <c r="A137" s="217" t="s">
        <v>229</v>
      </c>
      <c r="B137" s="218"/>
      <c r="C137" s="219"/>
      <c r="D137" s="27" t="s">
        <v>115</v>
      </c>
      <c r="E137" s="211" t="s">
        <v>225</v>
      </c>
      <c r="F137" s="211"/>
      <c r="G137" s="58" t="s">
        <v>13</v>
      </c>
    </row>
    <row r="138" spans="1:7" ht="15.75" thickBot="1">
      <c r="A138" s="160"/>
      <c r="B138" s="161"/>
      <c r="C138" s="162"/>
      <c r="D138" s="69"/>
      <c r="E138" s="240"/>
      <c r="F138" s="240"/>
      <c r="G138" s="122">
        <f>IF(A138&lt;&gt;"",1.5,0)*IF(D138="Да",2,1)*IF(E138="Да",1.2,1)</f>
        <v>0</v>
      </c>
    </row>
    <row r="139" spans="1:7" ht="15.75" thickBot="1">
      <c r="A139" s="160"/>
      <c r="B139" s="161"/>
      <c r="C139" s="162"/>
      <c r="D139" s="69"/>
      <c r="E139" s="240"/>
      <c r="F139" s="240"/>
      <c r="G139" s="122">
        <f>IF(A139&lt;&gt;"",1.5,0)*IF(D139="Да",2,1)*IF(E139="Да",1.2,1)</f>
        <v>0</v>
      </c>
    </row>
    <row r="140" spans="1:7" ht="15.75" thickBot="1">
      <c r="A140" s="160"/>
      <c r="B140" s="161"/>
      <c r="C140" s="162"/>
      <c r="D140" s="69"/>
      <c r="E140" s="240"/>
      <c r="F140" s="240"/>
      <c r="G140" s="122">
        <f>IF(A140&lt;&gt;"",1.5,0)*IF(D140="Да",2,1)*IF(E140="Да",1.2,1)</f>
        <v>0</v>
      </c>
    </row>
    <row r="141" spans="1:7" ht="15.75" thickBot="1">
      <c r="A141" s="160"/>
      <c r="B141" s="161"/>
      <c r="C141" s="162"/>
      <c r="D141" s="69"/>
      <c r="E141" s="240"/>
      <c r="F141" s="240"/>
      <c r="G141" s="122">
        <f>IF(A141&lt;&gt;"",1.5,0)*IF(D141="Да",2,1)*IF(E141="Да",1.2,1)</f>
        <v>0</v>
      </c>
    </row>
    <row r="142" spans="1:7" ht="15.75" thickBot="1">
      <c r="A142" s="156" t="s">
        <v>97</v>
      </c>
      <c r="B142" s="156"/>
      <c r="C142" s="156"/>
      <c r="D142" s="156"/>
      <c r="E142" s="156"/>
      <c r="F142" s="156"/>
      <c r="G142" s="112">
        <f>SUM(G138:G141)</f>
        <v>0</v>
      </c>
    </row>
    <row r="143" ht="15.75" thickBot="1"/>
    <row r="144" spans="1:8" ht="15.75" thickBot="1">
      <c r="A144" s="156" t="s">
        <v>243</v>
      </c>
      <c r="B144" s="156"/>
      <c r="C144" s="156"/>
      <c r="D144" s="156"/>
      <c r="E144" s="156"/>
      <c r="F144" s="156"/>
      <c r="G144" s="156"/>
      <c r="H144" s="112">
        <f>H128+H135+G142</f>
        <v>0</v>
      </c>
    </row>
    <row r="145" spans="1:8" ht="15.75" customHeight="1" thickBot="1">
      <c r="A145" s="241" t="s">
        <v>341</v>
      </c>
      <c r="B145" s="241"/>
      <c r="C145" s="241"/>
      <c r="D145" s="241"/>
      <c r="E145" s="241"/>
      <c r="F145" s="241"/>
      <c r="G145" s="241"/>
      <c r="H145" s="113">
        <f>IF(H144&lt;=8,H144,8)</f>
        <v>0</v>
      </c>
    </row>
    <row r="147" spans="1:8" ht="49.5" customHeight="1">
      <c r="A147" s="104" t="s">
        <v>319</v>
      </c>
      <c r="B147" s="149" t="s">
        <v>346</v>
      </c>
      <c r="C147" s="149"/>
      <c r="D147" s="149"/>
      <c r="E147" s="149"/>
      <c r="F147" s="149"/>
      <c r="G147" s="149"/>
      <c r="H147" s="149"/>
    </row>
    <row r="148" ht="15.75" thickBot="1"/>
    <row r="149" spans="1:8" ht="23.25" customHeight="1" thickBot="1">
      <c r="A149" s="231" t="s">
        <v>250</v>
      </c>
      <c r="B149" s="232"/>
      <c r="C149" s="232"/>
      <c r="D149" s="232"/>
      <c r="E149" s="232"/>
      <c r="F149" s="232"/>
      <c r="G149" s="233"/>
      <c r="H149" s="119">
        <f>ROUND((H115+H145)/2,1)</f>
        <v>0</v>
      </c>
    </row>
    <row r="152" spans="1:8" ht="45" customHeight="1">
      <c r="A152" s="79" t="s">
        <v>261</v>
      </c>
      <c r="B152" s="150" t="s">
        <v>262</v>
      </c>
      <c r="C152" s="150"/>
      <c r="D152" s="150"/>
      <c r="E152" s="150"/>
      <c r="F152" s="150"/>
      <c r="G152" s="150"/>
      <c r="H152" s="150"/>
    </row>
    <row r="154" spans="1:8" ht="15.75">
      <c r="A154" s="90" t="s">
        <v>307</v>
      </c>
      <c r="B154" s="145" t="s">
        <v>291</v>
      </c>
      <c r="C154" s="146"/>
      <c r="D154" s="146"/>
      <c r="E154" s="146"/>
      <c r="F154" s="146"/>
      <c r="G154" s="146"/>
      <c r="H154" s="146"/>
    </row>
    <row r="155" ht="15.75" thickBot="1"/>
    <row r="156" spans="1:8" ht="15.75" thickBot="1">
      <c r="A156" s="235" t="s">
        <v>98</v>
      </c>
      <c r="B156" s="235"/>
      <c r="C156" s="235"/>
      <c r="D156" s="235"/>
      <c r="E156" s="235"/>
      <c r="F156" s="235"/>
      <c r="G156" s="235"/>
      <c r="H156" s="234" t="s">
        <v>14</v>
      </c>
    </row>
    <row r="157" spans="1:8" ht="15.75" thickBot="1">
      <c r="A157" s="236" t="s">
        <v>99</v>
      </c>
      <c r="B157" s="236"/>
      <c r="C157" s="236"/>
      <c r="D157" s="236"/>
      <c r="E157" s="236"/>
      <c r="F157" s="236"/>
      <c r="G157" s="236"/>
      <c r="H157" s="234"/>
    </row>
    <row r="158" spans="1:8" ht="50.25" customHeight="1" thickBot="1">
      <c r="A158" s="237"/>
      <c r="B158" s="237"/>
      <c r="C158" s="237"/>
      <c r="D158" s="237"/>
      <c r="E158" s="237"/>
      <c r="F158" s="237"/>
      <c r="G158" s="237"/>
      <c r="H158" s="105">
        <f>IF(A158&lt;&gt;"",VLOOKUP(A158,tablica33,2,FALSE),0)</f>
        <v>0</v>
      </c>
    </row>
    <row r="159" spans="1:8" ht="29.25" customHeight="1" thickBot="1">
      <c r="A159" s="165" t="s">
        <v>234</v>
      </c>
      <c r="B159" s="166"/>
      <c r="C159" s="166"/>
      <c r="D159" s="166"/>
      <c r="E159" s="166"/>
      <c r="F159" s="166"/>
      <c r="G159" s="167"/>
      <c r="H159" s="114">
        <f>H158</f>
        <v>0</v>
      </c>
    </row>
    <row r="160" ht="15.75" thickBot="1"/>
    <row r="161" spans="1:8" ht="20.25" customHeight="1" thickBot="1">
      <c r="A161" s="231" t="s">
        <v>254</v>
      </c>
      <c r="B161" s="232"/>
      <c r="C161" s="232"/>
      <c r="D161" s="232"/>
      <c r="E161" s="232"/>
      <c r="F161" s="232"/>
      <c r="G161" s="233"/>
      <c r="H161" s="119">
        <f>H159</f>
        <v>0</v>
      </c>
    </row>
    <row r="162" spans="1:8" ht="15" customHeight="1">
      <c r="A162" s="73"/>
      <c r="B162" s="73"/>
      <c r="C162" s="73"/>
      <c r="D162" s="73"/>
      <c r="E162" s="73"/>
      <c r="F162" s="73"/>
      <c r="G162" s="73"/>
      <c r="H162" s="63"/>
    </row>
    <row r="164" spans="1:8" ht="21.75">
      <c r="A164" s="79" t="s">
        <v>267</v>
      </c>
      <c r="B164" s="150" t="s">
        <v>328</v>
      </c>
      <c r="C164" s="150"/>
      <c r="D164" s="150"/>
      <c r="E164" s="150"/>
      <c r="F164" s="150"/>
      <c r="G164" s="150"/>
      <c r="H164" s="150"/>
    </row>
    <row r="165" spans="1:8" ht="15" customHeight="1">
      <c r="A165" s="93"/>
      <c r="B165" s="93"/>
      <c r="C165" s="93"/>
      <c r="D165" s="93"/>
      <c r="E165" s="93"/>
      <c r="F165" s="93"/>
      <c r="G165" s="93"/>
      <c r="H165" s="93"/>
    </row>
    <row r="166" spans="1:8" ht="15" customHeight="1">
      <c r="A166" s="90" t="s">
        <v>306</v>
      </c>
      <c r="B166" s="145" t="s">
        <v>329</v>
      </c>
      <c r="C166" s="146"/>
      <c r="D166" s="146"/>
      <c r="E166" s="146"/>
      <c r="F166" s="146"/>
      <c r="G166" s="146"/>
      <c r="H166" s="146"/>
    </row>
    <row r="167" ht="15.75" thickBot="1"/>
    <row r="168" spans="1:8" ht="15.75" thickBot="1">
      <c r="A168" s="27" t="s">
        <v>3</v>
      </c>
      <c r="B168" s="211" t="s">
        <v>104</v>
      </c>
      <c r="C168" s="211"/>
      <c r="D168" s="211"/>
      <c r="E168" s="211"/>
      <c r="F168" s="211"/>
      <c r="G168" s="211"/>
      <c r="H168" s="27" t="s">
        <v>14</v>
      </c>
    </row>
    <row r="169" spans="1:8" ht="15.75" thickBot="1">
      <c r="A169" s="25" t="str">
        <f>Настройка!$B$9-4&amp;"/"&amp;TEXT((Настройка!$B$9-3),0)&amp;" год."</f>
        <v>2012/2013 год.</v>
      </c>
      <c r="B169" s="238"/>
      <c r="C169" s="239"/>
      <c r="D169" s="239"/>
      <c r="E169" s="239"/>
      <c r="F169" s="239"/>
      <c r="G169" s="239"/>
      <c r="H169" s="109">
        <f>VLOOKUP(B169,tablica34,2,FALSE)</f>
        <v>0</v>
      </c>
    </row>
    <row r="170" spans="1:8" ht="15.75" thickBot="1">
      <c r="A170" s="25" t="str">
        <f>Настройка!$B$9-3&amp;"/"&amp;TEXT((Настройка!$B$9-2),0)&amp;" год."</f>
        <v>2013/2014 год.</v>
      </c>
      <c r="B170" s="239"/>
      <c r="C170" s="239"/>
      <c r="D170" s="239"/>
      <c r="E170" s="239"/>
      <c r="F170" s="239"/>
      <c r="G170" s="239"/>
      <c r="H170" s="109">
        <f>VLOOKUP(B170,tablica34,2,FALSE)</f>
        <v>0</v>
      </c>
    </row>
    <row r="171" spans="1:8" ht="15.75" thickBot="1">
      <c r="A171" s="25" t="str">
        <f>Настройка!$B$9-2&amp;"/"&amp;TEXT((Настройка!$B$9)-1,0)&amp;" год."</f>
        <v>2014/2015 год.</v>
      </c>
      <c r="B171" s="238"/>
      <c r="C171" s="239"/>
      <c r="D171" s="239"/>
      <c r="E171" s="239"/>
      <c r="F171" s="239"/>
      <c r="G171" s="239"/>
      <c r="H171" s="109">
        <f>VLOOKUP(B171,tablica34,2,FALSE)</f>
        <v>0</v>
      </c>
    </row>
    <row r="172" spans="1:8" ht="15.75" thickBot="1">
      <c r="A172" s="151" t="s">
        <v>105</v>
      </c>
      <c r="B172" s="151"/>
      <c r="C172" s="151"/>
      <c r="D172" s="151"/>
      <c r="E172" s="151"/>
      <c r="F172" s="151"/>
      <c r="G172" s="151"/>
      <c r="H172" s="112">
        <f>SUM(H169:H171)</f>
        <v>0</v>
      </c>
    </row>
    <row r="173" spans="1:8" ht="15.75" thickBot="1">
      <c r="A173" s="151" t="s">
        <v>106</v>
      </c>
      <c r="B173" s="151"/>
      <c r="C173" s="151"/>
      <c r="D173" s="151"/>
      <c r="E173" s="151"/>
      <c r="F173" s="151"/>
      <c r="G173" s="151"/>
      <c r="H173" s="112">
        <f>3-COUNTIF(B169:G171,"Обективно няма възможност да води")</f>
        <v>3</v>
      </c>
    </row>
    <row r="174" spans="1:8" ht="15.75" thickBot="1">
      <c r="A174" s="91"/>
      <c r="B174" s="91"/>
      <c r="C174" s="91"/>
      <c r="D174" s="91"/>
      <c r="E174" s="91"/>
      <c r="F174" s="91"/>
      <c r="G174" s="91"/>
      <c r="H174" s="92"/>
    </row>
    <row r="175" spans="1:8" ht="18.75" customHeight="1" thickBot="1">
      <c r="A175" s="231" t="s">
        <v>295</v>
      </c>
      <c r="B175" s="232"/>
      <c r="C175" s="232"/>
      <c r="D175" s="232"/>
      <c r="E175" s="232"/>
      <c r="F175" s="232"/>
      <c r="G175" s="233"/>
      <c r="H175" s="119">
        <f>IF(H172&lt;&gt;0,ROUND(H172/H173,1),0)</f>
        <v>0</v>
      </c>
    </row>
    <row r="176" spans="1:8" ht="15" customHeight="1">
      <c r="A176" s="73"/>
      <c r="B176" s="73"/>
      <c r="C176" s="73"/>
      <c r="D176" s="73"/>
      <c r="E176" s="73"/>
      <c r="F176" s="73"/>
      <c r="G176" s="73"/>
      <c r="H176" s="102"/>
    </row>
    <row r="178" spans="1:8" ht="21.75">
      <c r="A178" s="79" t="s">
        <v>268</v>
      </c>
      <c r="B178" s="150" t="s">
        <v>330</v>
      </c>
      <c r="C178" s="150"/>
      <c r="D178" s="150"/>
      <c r="E178" s="150"/>
      <c r="F178" s="150"/>
      <c r="G178" s="150"/>
      <c r="H178" s="150"/>
    </row>
    <row r="179" spans="1:8" ht="15" customHeight="1">
      <c r="A179" s="93"/>
      <c r="B179" s="93"/>
      <c r="C179" s="93"/>
      <c r="D179" s="93"/>
      <c r="E179" s="93"/>
      <c r="F179" s="93"/>
      <c r="G179" s="93"/>
      <c r="H179" s="93"/>
    </row>
    <row r="180" spans="1:8" ht="15" customHeight="1">
      <c r="A180" s="90" t="s">
        <v>305</v>
      </c>
      <c r="B180" s="145" t="s">
        <v>330</v>
      </c>
      <c r="C180" s="146"/>
      <c r="D180" s="146"/>
      <c r="E180" s="146"/>
      <c r="F180" s="146"/>
      <c r="G180" s="146"/>
      <c r="H180" s="146"/>
    </row>
    <row r="181" ht="15.75" thickBot="1"/>
    <row r="182" spans="1:8" ht="15.75" thickBot="1">
      <c r="A182" s="27" t="s">
        <v>3</v>
      </c>
      <c r="B182" s="211" t="s">
        <v>133</v>
      </c>
      <c r="C182" s="211"/>
      <c r="D182" s="211"/>
      <c r="E182" s="211"/>
      <c r="F182" s="211"/>
      <c r="G182" s="211"/>
      <c r="H182" s="27" t="s">
        <v>14</v>
      </c>
    </row>
    <row r="183" spans="1:8" ht="15.75" thickBot="1">
      <c r="A183" s="25" t="str">
        <f>Настройка!$B$9-4&amp;"/"&amp;TEXT((Настройка!$B$9-3),0)&amp;" год."</f>
        <v>2012/2013 год.</v>
      </c>
      <c r="B183" s="238"/>
      <c r="C183" s="239"/>
      <c r="D183" s="239"/>
      <c r="E183" s="239"/>
      <c r="F183" s="239"/>
      <c r="G183" s="239"/>
      <c r="H183" s="109">
        <f>VLOOKUP(B183,tablica34,2,FALSE)</f>
        <v>0</v>
      </c>
    </row>
    <row r="184" spans="1:8" ht="15.75" thickBot="1">
      <c r="A184" s="25" t="str">
        <f>Настройка!$B$9-3&amp;"/"&amp;TEXT((Настройка!$B$9-2),0)&amp;" год."</f>
        <v>2013/2014 год.</v>
      </c>
      <c r="B184" s="238"/>
      <c r="C184" s="239"/>
      <c r="D184" s="239"/>
      <c r="E184" s="239"/>
      <c r="F184" s="239"/>
      <c r="G184" s="239"/>
      <c r="H184" s="109">
        <f>VLOOKUP(B184,tablica34,2,FALSE)</f>
        <v>0</v>
      </c>
    </row>
    <row r="185" spans="1:8" ht="15.75" thickBot="1">
      <c r="A185" s="25" t="str">
        <f>Настройка!$B$9-2&amp;"/"&amp;TEXT((Настройка!$B$9)-1,0)&amp;" год."</f>
        <v>2014/2015 год.</v>
      </c>
      <c r="B185" s="239"/>
      <c r="C185" s="239"/>
      <c r="D185" s="239"/>
      <c r="E185" s="239"/>
      <c r="F185" s="239"/>
      <c r="G185" s="239"/>
      <c r="H185" s="109">
        <f>VLOOKUP(B185,tablica34,2,FALSE)</f>
        <v>0</v>
      </c>
    </row>
    <row r="186" spans="1:8" ht="15.75" thickBot="1">
      <c r="A186" s="151" t="s">
        <v>105</v>
      </c>
      <c r="B186" s="151"/>
      <c r="C186" s="151"/>
      <c r="D186" s="151"/>
      <c r="E186" s="151"/>
      <c r="F186" s="151"/>
      <c r="G186" s="151"/>
      <c r="H186" s="112">
        <f>SUM(H183:H185)</f>
        <v>0</v>
      </c>
    </row>
    <row r="187" spans="1:8" ht="15.75" thickBot="1">
      <c r="A187" s="151" t="s">
        <v>106</v>
      </c>
      <c r="B187" s="151"/>
      <c r="C187" s="151"/>
      <c r="D187" s="151"/>
      <c r="E187" s="151"/>
      <c r="F187" s="151"/>
      <c r="G187" s="151"/>
      <c r="H187" s="112">
        <f>3-COUNTIF(B183:G185,"Обективно няма възможност да води")</f>
        <v>3</v>
      </c>
    </row>
    <row r="188" spans="1:8" ht="15.75" thickBot="1">
      <c r="A188" s="73"/>
      <c r="B188" s="73"/>
      <c r="C188" s="73"/>
      <c r="D188" s="73"/>
      <c r="E188" s="73"/>
      <c r="F188" s="73"/>
      <c r="G188" s="73"/>
      <c r="H188" s="92"/>
    </row>
    <row r="189" spans="1:8" ht="21" customHeight="1" thickBot="1">
      <c r="A189" s="231" t="s">
        <v>269</v>
      </c>
      <c r="B189" s="232"/>
      <c r="C189" s="232"/>
      <c r="D189" s="232"/>
      <c r="E189" s="232"/>
      <c r="F189" s="232"/>
      <c r="G189" s="233"/>
      <c r="H189" s="119">
        <f>IF(H186&lt;&gt;0,ROUND(H186/H187,1),0)</f>
        <v>0</v>
      </c>
    </row>
    <row r="193" spans="1:8" ht="25.5">
      <c r="A193" s="276" t="s">
        <v>231</v>
      </c>
      <c r="B193" s="276"/>
      <c r="C193" s="276"/>
      <c r="D193" s="276"/>
      <c r="E193" s="276"/>
      <c r="F193" s="276"/>
      <c r="G193" s="276"/>
      <c r="H193" s="276"/>
    </row>
    <row r="195" spans="1:8" ht="34.5" customHeight="1">
      <c r="A195" s="79" t="s">
        <v>270</v>
      </c>
      <c r="B195" s="150" t="s">
        <v>304</v>
      </c>
      <c r="C195" s="150"/>
      <c r="D195" s="150"/>
      <c r="E195" s="150"/>
      <c r="F195" s="150"/>
      <c r="G195" s="150"/>
      <c r="H195" s="150"/>
    </row>
    <row r="197" spans="1:8" ht="15.75">
      <c r="A197" s="90" t="s">
        <v>308</v>
      </c>
      <c r="B197" s="145" t="s">
        <v>309</v>
      </c>
      <c r="C197" s="146"/>
      <c r="D197" s="146"/>
      <c r="E197" s="146"/>
      <c r="F197" s="146"/>
      <c r="G197" s="146"/>
      <c r="H197" s="146"/>
    </row>
    <row r="198" ht="15.75" thickBot="1"/>
    <row r="199" spans="1:8" ht="26.25" customHeight="1" thickBot="1">
      <c r="A199" s="228" t="s">
        <v>142</v>
      </c>
      <c r="B199" s="228"/>
      <c r="C199" s="190" t="s">
        <v>271</v>
      </c>
      <c r="D199" s="191"/>
      <c r="E199" s="191"/>
      <c r="F199" s="191"/>
      <c r="G199" s="192"/>
      <c r="H199" s="96" t="s">
        <v>14</v>
      </c>
    </row>
    <row r="200" spans="1:8" ht="15.75" thickBot="1">
      <c r="A200" s="229"/>
      <c r="B200" s="230"/>
      <c r="C200" s="293"/>
      <c r="D200" s="294"/>
      <c r="E200" s="294"/>
      <c r="F200" s="294"/>
      <c r="G200" s="295"/>
      <c r="H200" s="125">
        <f>IF(A200&lt;&gt;"",VLOOKUP(A200,tablica37,2,FALSE),0)</f>
        <v>0</v>
      </c>
    </row>
    <row r="203" spans="1:8" ht="39.75" customHeight="1">
      <c r="A203" s="79" t="s">
        <v>272</v>
      </c>
      <c r="B203" s="150" t="s">
        <v>310</v>
      </c>
      <c r="C203" s="150"/>
      <c r="D203" s="150"/>
      <c r="E203" s="150"/>
      <c r="F203" s="150"/>
      <c r="G203" s="150"/>
      <c r="H203" s="150"/>
    </row>
    <row r="205" spans="1:8" ht="15.75">
      <c r="A205" s="90" t="s">
        <v>311</v>
      </c>
      <c r="B205" s="145" t="s">
        <v>312</v>
      </c>
      <c r="C205" s="146"/>
      <c r="D205" s="146"/>
      <c r="E205" s="146"/>
      <c r="F205" s="146"/>
      <c r="G205" s="146"/>
      <c r="H205" s="146"/>
    </row>
    <row r="206" ht="15.75" thickBot="1"/>
    <row r="207" spans="3:5" ht="24" customHeight="1" thickBot="1">
      <c r="C207" s="228" t="s">
        <v>142</v>
      </c>
      <c r="D207" s="228"/>
      <c r="E207" s="96" t="s">
        <v>14</v>
      </c>
    </row>
    <row r="208" spans="3:5" ht="15.75" thickBot="1">
      <c r="C208" s="229"/>
      <c r="D208" s="230"/>
      <c r="E208" s="25">
        <f>IF(C208&lt;&gt;"",VLOOKUP(C208,tablica37,2,FALSE),0)</f>
        <v>0</v>
      </c>
    </row>
    <row r="210" ht="15.75" thickBot="1"/>
    <row r="211" spans="1:8" ht="15.75" thickBot="1">
      <c r="A211" s="168" t="s">
        <v>147</v>
      </c>
      <c r="B211" s="169"/>
      <c r="C211" s="169"/>
      <c r="D211" s="169"/>
      <c r="E211" s="169"/>
      <c r="F211" s="169"/>
      <c r="G211" s="169"/>
      <c r="H211" s="170"/>
    </row>
    <row r="212" spans="1:8" ht="15.75" customHeight="1" thickBot="1">
      <c r="A212" s="157" t="s">
        <v>148</v>
      </c>
      <c r="B212" s="158"/>
      <c r="C212" s="158"/>
      <c r="D212" s="158"/>
      <c r="E212" s="158"/>
      <c r="F212" s="158"/>
      <c r="G212" s="159"/>
      <c r="H212" s="128">
        <f>H79+H149+IF(COUNTIF(C72:C75,"Да")&lt;&gt;0,H97,0)+H161+H175+H189+E208+H200</f>
        <v>0</v>
      </c>
    </row>
    <row r="213" spans="1:8" ht="15.75" customHeight="1" thickBot="1">
      <c r="A213" s="157" t="s">
        <v>149</v>
      </c>
      <c r="B213" s="158"/>
      <c r="C213" s="158"/>
      <c r="D213" s="158"/>
      <c r="E213" s="158"/>
      <c r="F213" s="158"/>
      <c r="G213" s="159"/>
      <c r="H213" s="129">
        <f>8-(H173=0)-(H187=0)-(COUNTIF(C72:C75,"Да")=0)-(C208="Обективна невъзможност")</f>
        <v>7</v>
      </c>
    </row>
    <row r="214" spans="1:8" ht="15.75" customHeight="1" thickBot="1">
      <c r="A214" s="151" t="s">
        <v>150</v>
      </c>
      <c r="B214" s="151"/>
      <c r="C214" s="151"/>
      <c r="D214" s="151"/>
      <c r="E214" s="151"/>
      <c r="F214" s="151"/>
      <c r="G214" s="151"/>
      <c r="H214" s="127">
        <f>H212/H213</f>
        <v>0</v>
      </c>
    </row>
    <row r="215" spans="1:8" ht="15.75" customHeight="1" thickBot="1">
      <c r="A215" s="248" t="s">
        <v>151</v>
      </c>
      <c r="B215" s="248"/>
      <c r="C215" s="248"/>
      <c r="D215" s="248"/>
      <c r="E215" s="248"/>
      <c r="F215" s="248"/>
      <c r="G215" s="248"/>
      <c r="H215" s="128">
        <f>IF(Настройка!A8&lt;&gt;"",VLOOKUP(Настройка!A8,razdel62,3,FALSE),0)</f>
        <v>0</v>
      </c>
    </row>
    <row r="216" spans="1:8" ht="15.75" customHeight="1" thickBot="1">
      <c r="A216" s="248" t="s">
        <v>152</v>
      </c>
      <c r="B216" s="248"/>
      <c r="C216" s="248"/>
      <c r="D216" s="248"/>
      <c r="E216" s="248"/>
      <c r="F216" s="248"/>
      <c r="G216" s="248"/>
      <c r="H216" s="128">
        <f>H214*H215</f>
        <v>0</v>
      </c>
    </row>
    <row r="217" spans="1:8" ht="15.75" customHeight="1" thickBot="1">
      <c r="A217" s="151" t="s">
        <v>340</v>
      </c>
      <c r="B217" s="151"/>
      <c r="C217" s="151"/>
      <c r="D217" s="151"/>
      <c r="E217" s="151"/>
      <c r="F217" s="151"/>
      <c r="G217" s="151"/>
      <c r="H217" s="127">
        <f>IF(H215=1.4,IF(H216&lt;=8,H216,8),IF(H216&lt;=6,H216,6))</f>
        <v>0</v>
      </c>
    </row>
    <row r="221" spans="1:8" ht="44.25" customHeight="1">
      <c r="A221" s="41" t="s">
        <v>161</v>
      </c>
      <c r="B221" s="171" t="s">
        <v>156</v>
      </c>
      <c r="C221" s="171"/>
      <c r="D221" s="171"/>
      <c r="E221" s="171"/>
      <c r="F221" s="171"/>
      <c r="G221" s="171"/>
      <c r="H221" s="171"/>
    </row>
    <row r="223" spans="1:8" ht="40.5">
      <c r="A223" s="85" t="s">
        <v>274</v>
      </c>
      <c r="B223" s="150" t="s">
        <v>273</v>
      </c>
      <c r="C223" s="150"/>
      <c r="D223" s="150"/>
      <c r="E223" s="150"/>
      <c r="F223" s="150"/>
      <c r="G223" s="150"/>
      <c r="H223" s="150"/>
    </row>
    <row r="225" spans="1:8" ht="15.75">
      <c r="A225" s="90" t="s">
        <v>313</v>
      </c>
      <c r="B225" s="147" t="s">
        <v>273</v>
      </c>
      <c r="C225" s="148"/>
      <c r="D225" s="148"/>
      <c r="E225" s="148"/>
      <c r="F225" s="148"/>
      <c r="G225" s="148"/>
      <c r="H225" s="148"/>
    </row>
    <row r="226" ht="15.75" thickBot="1"/>
    <row r="227" spans="1:8" ht="24.75" thickBot="1">
      <c r="A227" s="190" t="s">
        <v>314</v>
      </c>
      <c r="B227" s="191"/>
      <c r="C227" s="191"/>
      <c r="D227" s="191"/>
      <c r="E227" s="192"/>
      <c r="F227" s="80" t="s">
        <v>157</v>
      </c>
      <c r="G227" s="19" t="s">
        <v>226</v>
      </c>
      <c r="H227" s="80" t="s">
        <v>158</v>
      </c>
    </row>
    <row r="228" spans="1:8" ht="15.75" thickBot="1">
      <c r="A228" s="285" t="s">
        <v>237</v>
      </c>
      <c r="B228" s="286"/>
      <c r="C228" s="224" t="s">
        <v>159</v>
      </c>
      <c r="D228" s="224"/>
      <c r="E228" s="224"/>
      <c r="F228" s="70"/>
      <c r="G228" s="109">
        <v>3</v>
      </c>
      <c r="H228" s="109">
        <f>F228*G228</f>
        <v>0</v>
      </c>
    </row>
    <row r="229" spans="1:8" ht="15.75" thickBot="1">
      <c r="A229" s="287"/>
      <c r="B229" s="288"/>
      <c r="C229" s="224" t="s">
        <v>160</v>
      </c>
      <c r="D229" s="224"/>
      <c r="E229" s="224"/>
      <c r="F229" s="70"/>
      <c r="G229" s="109">
        <v>6</v>
      </c>
      <c r="H229" s="109">
        <f aca="true" t="shared" si="0" ref="H229:H235">F229*G229</f>
        <v>0</v>
      </c>
    </row>
    <row r="230" spans="1:11" ht="15.75" thickBot="1">
      <c r="A230" s="285" t="s">
        <v>238</v>
      </c>
      <c r="B230" s="286"/>
      <c r="C230" s="224" t="s">
        <v>159</v>
      </c>
      <c r="D230" s="224"/>
      <c r="E230" s="224"/>
      <c r="F230" s="70"/>
      <c r="G230" s="109">
        <v>1.5</v>
      </c>
      <c r="H230" s="109">
        <f t="shared" si="0"/>
        <v>0</v>
      </c>
      <c r="K230" s="57"/>
    </row>
    <row r="231" spans="1:8" ht="15.75" thickBot="1">
      <c r="A231" s="287"/>
      <c r="B231" s="288"/>
      <c r="C231" s="224" t="s">
        <v>160</v>
      </c>
      <c r="D231" s="224"/>
      <c r="E231" s="224"/>
      <c r="F231" s="70"/>
      <c r="G231" s="109">
        <v>3</v>
      </c>
      <c r="H231" s="109">
        <f t="shared" si="0"/>
        <v>0</v>
      </c>
    </row>
    <row r="232" spans="1:8" ht="15.75" thickBot="1">
      <c r="A232" s="285" t="s">
        <v>239</v>
      </c>
      <c r="B232" s="286"/>
      <c r="C232" s="224" t="s">
        <v>159</v>
      </c>
      <c r="D232" s="224"/>
      <c r="E232" s="224"/>
      <c r="F232" s="70"/>
      <c r="G232" s="109">
        <v>1</v>
      </c>
      <c r="H232" s="109">
        <f t="shared" si="0"/>
        <v>0</v>
      </c>
    </row>
    <row r="233" spans="1:8" ht="15.75" thickBot="1">
      <c r="A233" s="287"/>
      <c r="B233" s="288"/>
      <c r="C233" s="224" t="s">
        <v>160</v>
      </c>
      <c r="D233" s="224"/>
      <c r="E233" s="224"/>
      <c r="F233" s="70"/>
      <c r="G233" s="109">
        <v>2</v>
      </c>
      <c r="H233" s="109">
        <f t="shared" si="0"/>
        <v>0</v>
      </c>
    </row>
    <row r="234" spans="1:8" ht="15.75" customHeight="1" thickBot="1">
      <c r="A234" s="285" t="s">
        <v>240</v>
      </c>
      <c r="B234" s="286"/>
      <c r="C234" s="224" t="s">
        <v>159</v>
      </c>
      <c r="D234" s="224"/>
      <c r="E234" s="224"/>
      <c r="F234" s="71"/>
      <c r="G234" s="109">
        <v>0.5</v>
      </c>
      <c r="H234" s="109">
        <f t="shared" si="0"/>
        <v>0</v>
      </c>
    </row>
    <row r="235" spans="1:8" ht="15.75" thickBot="1">
      <c r="A235" s="287"/>
      <c r="B235" s="288"/>
      <c r="C235" s="224" t="s">
        <v>160</v>
      </c>
      <c r="D235" s="224"/>
      <c r="E235" s="224"/>
      <c r="F235" s="71"/>
      <c r="G235" s="109">
        <v>1</v>
      </c>
      <c r="H235" s="109">
        <f t="shared" si="0"/>
        <v>0</v>
      </c>
    </row>
    <row r="236" spans="1:8" ht="15.75" customHeight="1" thickBot="1">
      <c r="A236" s="203" t="s">
        <v>298</v>
      </c>
      <c r="B236" s="203"/>
      <c r="C236" s="203"/>
      <c r="D236" s="203"/>
      <c r="E236" s="203"/>
      <c r="F236" s="203"/>
      <c r="G236" s="203"/>
      <c r="H236" s="130">
        <f>SUM(H228:H235)</f>
        <v>0</v>
      </c>
    </row>
    <row r="237" spans="1:8" ht="25.5" customHeight="1" thickBot="1">
      <c r="A237" s="225" t="s">
        <v>297</v>
      </c>
      <c r="B237" s="225"/>
      <c r="C237" s="225"/>
      <c r="D237" s="225"/>
      <c r="E237" s="225"/>
      <c r="F237" s="225"/>
      <c r="G237" s="225"/>
      <c r="H237" s="131">
        <f>IF(Настройка!$B$10=3,1.5,1)</f>
        <v>1</v>
      </c>
    </row>
    <row r="238" spans="1:8" ht="18.75" customHeight="1" thickBot="1">
      <c r="A238" s="203" t="s">
        <v>296</v>
      </c>
      <c r="B238" s="203"/>
      <c r="C238" s="203"/>
      <c r="D238" s="203"/>
      <c r="E238" s="203"/>
      <c r="F238" s="203"/>
      <c r="G238" s="203"/>
      <c r="H238" s="130">
        <f>H236*H237</f>
        <v>0</v>
      </c>
    </row>
    <row r="242" spans="1:8" ht="40.5">
      <c r="A242" s="79" t="s">
        <v>276</v>
      </c>
      <c r="B242" s="150" t="s">
        <v>275</v>
      </c>
      <c r="C242" s="150"/>
      <c r="D242" s="150"/>
      <c r="E242" s="150"/>
      <c r="F242" s="150"/>
      <c r="G242" s="150"/>
      <c r="H242" s="150"/>
    </row>
    <row r="244" spans="1:8" ht="15.75">
      <c r="A244" s="90" t="s">
        <v>277</v>
      </c>
      <c r="B244" s="147" t="s">
        <v>315</v>
      </c>
      <c r="C244" s="148"/>
      <c r="D244" s="148"/>
      <c r="E244" s="148"/>
      <c r="F244" s="148"/>
      <c r="G244" s="148"/>
      <c r="H244" s="148"/>
    </row>
    <row r="245" ht="15.75" thickBot="1"/>
    <row r="246" spans="1:8" ht="37.5" customHeight="1" thickBot="1">
      <c r="A246" s="211" t="s">
        <v>241</v>
      </c>
      <c r="B246" s="211"/>
      <c r="C246" s="211"/>
      <c r="D246" s="211"/>
      <c r="E246" s="58" t="s">
        <v>157</v>
      </c>
      <c r="F246" s="211" t="s">
        <v>236</v>
      </c>
      <c r="G246" s="211"/>
      <c r="H246" s="58" t="s">
        <v>14</v>
      </c>
    </row>
    <row r="247" spans="1:8" s="60" customFormat="1" ht="15.75" customHeight="1" thickBot="1">
      <c r="A247" s="222" t="s">
        <v>318</v>
      </c>
      <c r="B247" s="222"/>
      <c r="C247" s="222"/>
      <c r="D247" s="222"/>
      <c r="E247" s="72"/>
      <c r="F247" s="220">
        <v>1</v>
      </c>
      <c r="G247" s="221"/>
      <c r="H247" s="111">
        <f>E247*F247</f>
        <v>0</v>
      </c>
    </row>
    <row r="248" spans="1:8" s="60" customFormat="1" ht="15.75" customHeight="1" thickBot="1">
      <c r="A248" s="222" t="s">
        <v>235</v>
      </c>
      <c r="B248" s="222"/>
      <c r="C248" s="222"/>
      <c r="D248" s="222"/>
      <c r="E248" s="72"/>
      <c r="F248" s="220">
        <v>1.5</v>
      </c>
      <c r="G248" s="221"/>
      <c r="H248" s="111">
        <f>E248*F248</f>
        <v>0</v>
      </c>
    </row>
    <row r="249" spans="1:8" s="60" customFormat="1" ht="15.75" customHeight="1" thickBot="1">
      <c r="A249" s="222" t="s">
        <v>317</v>
      </c>
      <c r="B249" s="222"/>
      <c r="C249" s="222"/>
      <c r="D249" s="222"/>
      <c r="E249" s="72"/>
      <c r="F249" s="220">
        <v>2</v>
      </c>
      <c r="G249" s="221"/>
      <c r="H249" s="111">
        <f>E249*F249</f>
        <v>0</v>
      </c>
    </row>
    <row r="250" spans="1:8" ht="15.75" thickBot="1">
      <c r="A250" s="203" t="s">
        <v>162</v>
      </c>
      <c r="B250" s="203"/>
      <c r="C250" s="203"/>
      <c r="D250" s="203"/>
      <c r="E250" s="203"/>
      <c r="F250" s="203"/>
      <c r="G250" s="203"/>
      <c r="H250" s="106">
        <f>SUM(H247:H249)</f>
        <v>0</v>
      </c>
    </row>
    <row r="251" spans="1:8" ht="28.5" customHeight="1" thickBot="1">
      <c r="A251" s="204" t="s">
        <v>245</v>
      </c>
      <c r="B251" s="204"/>
      <c r="C251" s="204"/>
      <c r="D251" s="204"/>
      <c r="E251" s="204"/>
      <c r="F251" s="204"/>
      <c r="G251" s="204"/>
      <c r="H251" s="107">
        <f>IF(Настройка!$B$10=3,1.5,1)</f>
        <v>1</v>
      </c>
    </row>
    <row r="252" spans="1:8" ht="15.75" customHeight="1" thickBot="1">
      <c r="A252" s="213" t="s">
        <v>163</v>
      </c>
      <c r="B252" s="214"/>
      <c r="C252" s="214"/>
      <c r="D252" s="214"/>
      <c r="E252" s="214"/>
      <c r="F252" s="214"/>
      <c r="G252" s="215"/>
      <c r="H252" s="132">
        <f>H250*H251</f>
        <v>0</v>
      </c>
    </row>
    <row r="255" spans="1:8" ht="39" customHeight="1">
      <c r="A255" s="90" t="s">
        <v>278</v>
      </c>
      <c r="B255" s="147" t="s">
        <v>316</v>
      </c>
      <c r="C255" s="216"/>
      <c r="D255" s="216"/>
      <c r="E255" s="216"/>
      <c r="F255" s="216"/>
      <c r="G255" s="216"/>
      <c r="H255" s="216"/>
    </row>
    <row r="256" ht="15.75" thickBot="1"/>
    <row r="257" spans="1:8" ht="37.5" customHeight="1" thickBot="1">
      <c r="A257" s="211" t="s">
        <v>241</v>
      </c>
      <c r="B257" s="211"/>
      <c r="C257" s="211"/>
      <c r="D257" s="211"/>
      <c r="E257" s="58" t="s">
        <v>157</v>
      </c>
      <c r="F257" s="211" t="s">
        <v>226</v>
      </c>
      <c r="G257" s="211"/>
      <c r="H257" s="58" t="s">
        <v>14</v>
      </c>
    </row>
    <row r="258" spans="1:8" s="60" customFormat="1" ht="15.75" customHeight="1" thickBot="1">
      <c r="A258" s="222" t="s">
        <v>318</v>
      </c>
      <c r="B258" s="222"/>
      <c r="C258" s="222"/>
      <c r="D258" s="222"/>
      <c r="E258" s="72"/>
      <c r="F258" s="226">
        <v>0.5</v>
      </c>
      <c r="G258" s="227"/>
      <c r="H258" s="111">
        <f>E258*F258</f>
        <v>0</v>
      </c>
    </row>
    <row r="259" spans="1:8" s="60" customFormat="1" ht="15.75" customHeight="1" thickBot="1">
      <c r="A259" s="222" t="s">
        <v>235</v>
      </c>
      <c r="B259" s="222"/>
      <c r="C259" s="222"/>
      <c r="D259" s="222"/>
      <c r="E259" s="72"/>
      <c r="F259" s="226">
        <v>0.75</v>
      </c>
      <c r="G259" s="227"/>
      <c r="H259" s="111">
        <f>E259*F259</f>
        <v>0</v>
      </c>
    </row>
    <row r="260" spans="1:8" s="60" customFormat="1" ht="15.75" customHeight="1" thickBot="1">
      <c r="A260" s="222" t="s">
        <v>317</v>
      </c>
      <c r="B260" s="222"/>
      <c r="C260" s="222"/>
      <c r="D260" s="222"/>
      <c r="E260" s="72"/>
      <c r="F260" s="226">
        <v>1</v>
      </c>
      <c r="G260" s="227"/>
      <c r="H260" s="111">
        <f>E260*F260</f>
        <v>0</v>
      </c>
    </row>
    <row r="261" spans="1:8" ht="15.75" thickBot="1">
      <c r="A261" s="203" t="s">
        <v>162</v>
      </c>
      <c r="B261" s="203"/>
      <c r="C261" s="203"/>
      <c r="D261" s="203"/>
      <c r="E261" s="203"/>
      <c r="F261" s="203"/>
      <c r="G261" s="203"/>
      <c r="H261" s="106">
        <f>SUM(H258:H260)</f>
        <v>0</v>
      </c>
    </row>
    <row r="262" spans="1:8" ht="28.5" customHeight="1" thickBot="1">
      <c r="A262" s="204" t="s">
        <v>245</v>
      </c>
      <c r="B262" s="204"/>
      <c r="C262" s="204"/>
      <c r="D262" s="204"/>
      <c r="E262" s="204"/>
      <c r="F262" s="204"/>
      <c r="G262" s="204"/>
      <c r="H262" s="97">
        <f>IF(Настройка!$B$10=3,1.5,1)</f>
        <v>1</v>
      </c>
    </row>
    <row r="263" spans="1:8" ht="15.75" customHeight="1" thickBot="1">
      <c r="A263" s="213" t="s">
        <v>167</v>
      </c>
      <c r="B263" s="214"/>
      <c r="C263" s="214"/>
      <c r="D263" s="214"/>
      <c r="E263" s="214"/>
      <c r="F263" s="214"/>
      <c r="G263" s="215"/>
      <c r="H263" s="132">
        <f>H261*H262</f>
        <v>0</v>
      </c>
    </row>
    <row r="264" ht="15.75" thickBot="1"/>
    <row r="265" spans="1:8" ht="18" customHeight="1" thickBot="1">
      <c r="A265" s="212" t="s">
        <v>279</v>
      </c>
      <c r="B265" s="212"/>
      <c r="C265" s="212"/>
      <c r="D265" s="212"/>
      <c r="E265" s="212"/>
      <c r="F265" s="212"/>
      <c r="G265" s="212"/>
      <c r="H265" s="130">
        <f>(H252+H263)</f>
        <v>0</v>
      </c>
    </row>
    <row r="266" spans="1:8" ht="18" customHeight="1" thickBot="1">
      <c r="A266" s="212" t="s">
        <v>339</v>
      </c>
      <c r="B266" s="212"/>
      <c r="C266" s="212"/>
      <c r="D266" s="212"/>
      <c r="E266" s="212"/>
      <c r="F266" s="212"/>
      <c r="G266" s="212"/>
      <c r="H266" s="130">
        <f>IF(H265&lt;=6,H265,6)</f>
        <v>0</v>
      </c>
    </row>
    <row r="268" spans="1:8" ht="42" customHeight="1">
      <c r="A268" s="104" t="s">
        <v>319</v>
      </c>
      <c r="B268" s="149" t="s">
        <v>331</v>
      </c>
      <c r="C268" s="149"/>
      <c r="D268" s="149"/>
      <c r="E268" s="149"/>
      <c r="F268" s="149"/>
      <c r="G268" s="149"/>
      <c r="H268" s="149"/>
    </row>
    <row r="270" spans="1:8" ht="40.5">
      <c r="A270" s="85" t="s">
        <v>324</v>
      </c>
      <c r="B270" s="150" t="s">
        <v>323</v>
      </c>
      <c r="C270" s="150"/>
      <c r="D270" s="150"/>
      <c r="E270" s="150"/>
      <c r="F270" s="150"/>
      <c r="G270" s="150"/>
      <c r="H270" s="150"/>
    </row>
    <row r="272" spans="1:8" ht="15.75">
      <c r="A272" s="90" t="s">
        <v>325</v>
      </c>
      <c r="B272" s="147" t="s">
        <v>326</v>
      </c>
      <c r="C272" s="148"/>
      <c r="D272" s="148"/>
      <c r="E272" s="148"/>
      <c r="F272" s="148"/>
      <c r="G272" s="148"/>
      <c r="H272" s="148"/>
    </row>
    <row r="273" ht="15.75" thickBot="1"/>
    <row r="274" spans="1:8" ht="27" customHeight="1" thickBot="1">
      <c r="A274" s="217" t="s">
        <v>314</v>
      </c>
      <c r="B274" s="218"/>
      <c r="C274" s="218"/>
      <c r="D274" s="219"/>
      <c r="E274" s="86" t="s">
        <v>168</v>
      </c>
      <c r="F274" s="211" t="s">
        <v>226</v>
      </c>
      <c r="G274" s="211"/>
      <c r="H274" s="86" t="s">
        <v>158</v>
      </c>
    </row>
    <row r="275" spans="1:8" ht="15.75" thickBot="1">
      <c r="A275" s="142" t="s">
        <v>347</v>
      </c>
      <c r="B275" s="143"/>
      <c r="C275" s="143"/>
      <c r="D275" s="144"/>
      <c r="E275" s="69"/>
      <c r="F275" s="179">
        <v>1</v>
      </c>
      <c r="G275" s="179"/>
      <c r="H275" s="105">
        <f>E275*F275</f>
        <v>0</v>
      </c>
    </row>
    <row r="276" spans="1:8" ht="15.75" thickBot="1">
      <c r="A276" s="152" t="s">
        <v>232</v>
      </c>
      <c r="B276" s="153"/>
      <c r="C276" s="153"/>
      <c r="D276" s="154"/>
      <c r="E276" s="69"/>
      <c r="F276" s="179">
        <v>2</v>
      </c>
      <c r="G276" s="179"/>
      <c r="H276" s="105">
        <f>E276*F276</f>
        <v>0</v>
      </c>
    </row>
    <row r="277" spans="1:8" ht="15.75" thickBot="1">
      <c r="A277" s="203" t="s">
        <v>162</v>
      </c>
      <c r="B277" s="203"/>
      <c r="C277" s="203"/>
      <c r="D277" s="203"/>
      <c r="E277" s="203"/>
      <c r="F277" s="203"/>
      <c r="G277" s="203"/>
      <c r="H277" s="106">
        <f>SUM(H275:H276)</f>
        <v>0</v>
      </c>
    </row>
    <row r="278" spans="1:8" ht="28.5" customHeight="1" thickBot="1">
      <c r="A278" s="204" t="s">
        <v>245</v>
      </c>
      <c r="B278" s="204"/>
      <c r="C278" s="204"/>
      <c r="D278" s="204"/>
      <c r="E278" s="204"/>
      <c r="F278" s="204"/>
      <c r="G278" s="204"/>
      <c r="H278" s="107">
        <f>IF(Настройка!$B$10=3,1.5,1)</f>
        <v>1</v>
      </c>
    </row>
    <row r="279" spans="1:8" ht="15.75" customHeight="1" thickBot="1">
      <c r="A279" s="213" t="s">
        <v>169</v>
      </c>
      <c r="B279" s="214"/>
      <c r="C279" s="214"/>
      <c r="D279" s="214"/>
      <c r="E279" s="214"/>
      <c r="F279" s="214"/>
      <c r="G279" s="215"/>
      <c r="H279" s="106">
        <f>H277*H278</f>
        <v>0</v>
      </c>
    </row>
    <row r="280" spans="1:8" ht="18.75" customHeight="1" thickBot="1">
      <c r="A280" s="212" t="s">
        <v>338</v>
      </c>
      <c r="B280" s="212"/>
      <c r="C280" s="212"/>
      <c r="D280" s="212"/>
      <c r="E280" s="212"/>
      <c r="F280" s="212"/>
      <c r="G280" s="212"/>
      <c r="H280" s="108">
        <f>IF(H279&lt;=6,H279,6)</f>
        <v>0</v>
      </c>
    </row>
    <row r="282" spans="1:8" ht="42.75" customHeight="1">
      <c r="A282" s="104" t="s">
        <v>319</v>
      </c>
      <c r="B282" s="149" t="s">
        <v>348</v>
      </c>
      <c r="C282" s="149"/>
      <c r="D282" s="149"/>
      <c r="E282" s="149"/>
      <c r="F282" s="149"/>
      <c r="G282" s="149"/>
      <c r="H282" s="149"/>
    </row>
    <row r="284" spans="1:8" ht="40.5">
      <c r="A284" s="79" t="s">
        <v>281</v>
      </c>
      <c r="B284" s="150" t="s">
        <v>280</v>
      </c>
      <c r="C284" s="150"/>
      <c r="D284" s="150"/>
      <c r="E284" s="150"/>
      <c r="F284" s="150"/>
      <c r="G284" s="150"/>
      <c r="H284" s="150"/>
    </row>
    <row r="286" spans="1:8" ht="15.75">
      <c r="A286" s="90" t="s">
        <v>283</v>
      </c>
      <c r="B286" s="145" t="s">
        <v>282</v>
      </c>
      <c r="C286" s="146"/>
      <c r="D286" s="146"/>
      <c r="E286" s="146"/>
      <c r="F286" s="146"/>
      <c r="G286" s="146"/>
      <c r="H286" s="146"/>
    </row>
    <row r="287" ht="15.75" thickBot="1"/>
    <row r="288" spans="1:8" ht="15.75" customHeight="1" thickBot="1">
      <c r="A288" s="208" t="s">
        <v>170</v>
      </c>
      <c r="B288" s="209"/>
      <c r="C288" s="210"/>
      <c r="D288" s="19" t="s">
        <v>171</v>
      </c>
      <c r="E288" s="223" t="s">
        <v>299</v>
      </c>
      <c r="F288" s="223"/>
      <c r="G288" s="223"/>
      <c r="H288" s="19" t="s">
        <v>14</v>
      </c>
    </row>
    <row r="289" spans="1:8" ht="15.75" thickBot="1">
      <c r="A289" s="160"/>
      <c r="B289" s="161"/>
      <c r="C289" s="162"/>
      <c r="D289" s="69"/>
      <c r="E289" s="155"/>
      <c r="F289" s="155"/>
      <c r="G289" s="155"/>
      <c r="H289" s="109">
        <f>IF(A289&lt;&gt;"",VLOOKUP(A289,tablica441,2,FALSE),0)</f>
        <v>0</v>
      </c>
    </row>
    <row r="290" spans="1:8" ht="15.75" thickBot="1">
      <c r="A290" s="205"/>
      <c r="B290" s="206"/>
      <c r="C290" s="207"/>
      <c r="D290" s="69"/>
      <c r="E290" s="155"/>
      <c r="F290" s="155"/>
      <c r="G290" s="155"/>
      <c r="H290" s="109">
        <f>IF(A290&lt;&gt;"",VLOOKUP(A290,tablica441,2,FALSE),0)</f>
        <v>0</v>
      </c>
    </row>
    <row r="291" spans="1:8" ht="15.75" thickBot="1">
      <c r="A291" s="205"/>
      <c r="B291" s="206"/>
      <c r="C291" s="207"/>
      <c r="D291" s="69"/>
      <c r="E291" s="155"/>
      <c r="F291" s="155"/>
      <c r="G291" s="155"/>
      <c r="H291" s="109">
        <f>IF(A291&lt;&gt;"",VLOOKUP(A291,tablica441,2,FALSE),0)</f>
        <v>0</v>
      </c>
    </row>
    <row r="292" spans="1:8" ht="15.75" customHeight="1" thickBot="1">
      <c r="A292" s="156" t="s">
        <v>172</v>
      </c>
      <c r="B292" s="156"/>
      <c r="C292" s="156"/>
      <c r="D292" s="156"/>
      <c r="E292" s="156"/>
      <c r="F292" s="156"/>
      <c r="G292" s="156"/>
      <c r="H292" s="110">
        <f>SUM(H289:H291)</f>
        <v>0</v>
      </c>
    </row>
    <row r="295" spans="1:8" ht="15.75">
      <c r="A295" s="90" t="s">
        <v>285</v>
      </c>
      <c r="B295" s="145" t="s">
        <v>284</v>
      </c>
      <c r="C295" s="146"/>
      <c r="D295" s="146"/>
      <c r="E295" s="146"/>
      <c r="F295" s="146"/>
      <c r="G295" s="146"/>
      <c r="H295" s="146"/>
    </row>
    <row r="296" ht="15.75" thickBot="1"/>
    <row r="297" spans="1:8" s="61" customFormat="1" ht="15.75" customHeight="1" thickBot="1">
      <c r="A297" s="208" t="s">
        <v>180</v>
      </c>
      <c r="B297" s="209"/>
      <c r="C297" s="209"/>
      <c r="D297" s="210"/>
      <c r="E297" s="59" t="s">
        <v>157</v>
      </c>
      <c r="F297" s="211" t="s">
        <v>226</v>
      </c>
      <c r="G297" s="211"/>
      <c r="H297" s="59" t="s">
        <v>14</v>
      </c>
    </row>
    <row r="298" spans="1:8" s="61" customFormat="1" ht="15.75" thickBot="1">
      <c r="A298" s="142" t="s">
        <v>182</v>
      </c>
      <c r="B298" s="143"/>
      <c r="C298" s="143"/>
      <c r="D298" s="144"/>
      <c r="E298" s="69"/>
      <c r="F298" s="201">
        <v>6</v>
      </c>
      <c r="G298" s="202"/>
      <c r="H298" s="111">
        <f>E298*F298</f>
        <v>0</v>
      </c>
    </row>
    <row r="299" spans="1:8" s="61" customFormat="1" ht="15.75" thickBot="1">
      <c r="A299" s="142" t="s">
        <v>183</v>
      </c>
      <c r="B299" s="143"/>
      <c r="C299" s="143"/>
      <c r="D299" s="144"/>
      <c r="E299" s="69"/>
      <c r="F299" s="201">
        <v>3</v>
      </c>
      <c r="G299" s="202"/>
      <c r="H299" s="111">
        <f>E299*F299</f>
        <v>0</v>
      </c>
    </row>
    <row r="300" spans="1:8" ht="15.75" thickBot="1">
      <c r="A300" s="152" t="s">
        <v>184</v>
      </c>
      <c r="B300" s="153"/>
      <c r="C300" s="153"/>
      <c r="D300" s="154"/>
      <c r="E300" s="87"/>
      <c r="F300" s="140">
        <v>0</v>
      </c>
      <c r="G300" s="141"/>
      <c r="H300" s="111">
        <f>E300*F300</f>
        <v>0</v>
      </c>
    </row>
    <row r="301" spans="1:8" ht="15.75" customHeight="1" thickBot="1">
      <c r="A301" s="163" t="s">
        <v>181</v>
      </c>
      <c r="B301" s="164"/>
      <c r="C301" s="164"/>
      <c r="D301" s="164"/>
      <c r="E301" s="164"/>
      <c r="F301" s="164"/>
      <c r="G301" s="164"/>
      <c r="H301" s="133">
        <f>SUM(H298:H300)</f>
        <v>0</v>
      </c>
    </row>
    <row r="303" spans="1:8" ht="45" customHeight="1">
      <c r="A303" s="104" t="s">
        <v>319</v>
      </c>
      <c r="B303" s="149" t="s">
        <v>349</v>
      </c>
      <c r="C303" s="149"/>
      <c r="D303" s="149"/>
      <c r="E303" s="149"/>
      <c r="F303" s="149"/>
      <c r="G303" s="149"/>
      <c r="H303" s="149"/>
    </row>
    <row r="304" ht="15.75" thickBot="1"/>
    <row r="305" spans="1:8" ht="19.5" customHeight="1" thickBot="1">
      <c r="A305" s="165" t="s">
        <v>286</v>
      </c>
      <c r="B305" s="166"/>
      <c r="C305" s="166"/>
      <c r="D305" s="166"/>
      <c r="E305" s="166"/>
      <c r="F305" s="166"/>
      <c r="G305" s="167"/>
      <c r="H305" s="127">
        <f>IF(Настройка!B12="Да",ROUND((ИндивидуаленОтчет!H292+ИндивидуаленОтчет!H301)/2,1),ИндивидуаленОтчет!H292)</f>
        <v>0</v>
      </c>
    </row>
    <row r="308" ht="15.75" thickBot="1"/>
    <row r="309" spans="1:8" ht="15.75" thickBot="1">
      <c r="A309" s="168" t="s">
        <v>185</v>
      </c>
      <c r="B309" s="169"/>
      <c r="C309" s="169"/>
      <c r="D309" s="169"/>
      <c r="E309" s="169"/>
      <c r="F309" s="169"/>
      <c r="G309" s="169"/>
      <c r="H309" s="170"/>
    </row>
    <row r="310" spans="1:8" ht="15.75" thickBot="1">
      <c r="A310" s="157" t="s">
        <v>186</v>
      </c>
      <c r="B310" s="158"/>
      <c r="C310" s="158"/>
      <c r="D310" s="158"/>
      <c r="E310" s="158"/>
      <c r="F310" s="158"/>
      <c r="G310" s="159"/>
      <c r="H310" s="128">
        <f>H238+H266+H280+H305</f>
        <v>0</v>
      </c>
    </row>
    <row r="311" spans="1:8" ht="15.75" thickBot="1">
      <c r="A311" s="157" t="s">
        <v>149</v>
      </c>
      <c r="B311" s="158"/>
      <c r="C311" s="158"/>
      <c r="D311" s="158"/>
      <c r="E311" s="158"/>
      <c r="F311" s="158"/>
      <c r="G311" s="159"/>
      <c r="H311" s="126">
        <v>4</v>
      </c>
    </row>
    <row r="312" spans="1:8" ht="15.75" thickBot="1">
      <c r="A312" s="151" t="s">
        <v>187</v>
      </c>
      <c r="B312" s="151"/>
      <c r="C312" s="151"/>
      <c r="D312" s="151"/>
      <c r="E312" s="151"/>
      <c r="F312" s="151"/>
      <c r="G312" s="151"/>
      <c r="H312" s="127">
        <f>ROUND(H310/H311,1)</f>
        <v>0</v>
      </c>
    </row>
    <row r="313" spans="1:8" ht="15.75" thickBot="1">
      <c r="A313" s="151" t="s">
        <v>337</v>
      </c>
      <c r="B313" s="151"/>
      <c r="C313" s="151"/>
      <c r="D313" s="151"/>
      <c r="E313" s="151"/>
      <c r="F313" s="151"/>
      <c r="G313" s="151"/>
      <c r="H313" s="127">
        <f>IF(H215=1.4,IF(H312&lt;=4,H312,4),IF(H312&lt;=6,H312,6))</f>
        <v>0</v>
      </c>
    </row>
    <row r="317" spans="1:8" ht="60" customHeight="1">
      <c r="A317" s="98" t="s">
        <v>192</v>
      </c>
      <c r="B317" s="171" t="s">
        <v>332</v>
      </c>
      <c r="C317" s="171"/>
      <c r="D317" s="171"/>
      <c r="E317" s="171"/>
      <c r="F317" s="171"/>
      <c r="G317" s="171"/>
      <c r="H317" s="171"/>
    </row>
    <row r="320" spans="1:8" ht="39" customHeight="1">
      <c r="A320" s="79" t="s">
        <v>274</v>
      </c>
      <c r="B320" s="150" t="s">
        <v>333</v>
      </c>
      <c r="C320" s="150"/>
      <c r="D320" s="150"/>
      <c r="E320" s="150"/>
      <c r="F320" s="150"/>
      <c r="G320" s="150"/>
      <c r="H320" s="150"/>
    </row>
    <row r="321" ht="15.75" thickBot="1"/>
    <row r="322" spans="1:8" ht="15.75" customHeight="1" thickBot="1">
      <c r="A322" s="190" t="s">
        <v>334</v>
      </c>
      <c r="B322" s="191"/>
      <c r="C322" s="191"/>
      <c r="D322" s="191"/>
      <c r="E322" s="191"/>
      <c r="F322" s="191"/>
      <c r="G322" s="192"/>
      <c r="H322" s="96" t="s">
        <v>14</v>
      </c>
    </row>
    <row r="323" spans="1:8" ht="15.75" customHeight="1" thickBot="1">
      <c r="A323" s="160"/>
      <c r="B323" s="161"/>
      <c r="C323" s="161"/>
      <c r="D323" s="161"/>
      <c r="E323" s="161"/>
      <c r="F323" s="161"/>
      <c r="G323" s="162"/>
      <c r="H323" s="109">
        <f>IF(A323&lt;&gt;"",VLOOKUP(A323,tablica51,2,FALSE),0)</f>
        <v>0</v>
      </c>
    </row>
    <row r="324" spans="1:8" ht="15.75" thickBot="1">
      <c r="A324" s="160"/>
      <c r="B324" s="161"/>
      <c r="C324" s="161"/>
      <c r="D324" s="161"/>
      <c r="E324" s="161"/>
      <c r="F324" s="161"/>
      <c r="G324" s="162"/>
      <c r="H324" s="109">
        <f>IF(A324&lt;&gt;"",VLOOKUP(A324,tablica51,2,FALSE),0)</f>
        <v>0</v>
      </c>
    </row>
    <row r="325" spans="1:8" ht="15.75" thickBot="1">
      <c r="A325" s="160"/>
      <c r="B325" s="161"/>
      <c r="C325" s="161"/>
      <c r="D325" s="161"/>
      <c r="E325" s="161"/>
      <c r="F325" s="161"/>
      <c r="G325" s="162"/>
      <c r="H325" s="109">
        <f>IF(A325&lt;&gt;"",VLOOKUP(A325,tablica51,2,FALSE),0)</f>
        <v>0</v>
      </c>
    </row>
    <row r="326" spans="1:8" ht="15.75" thickBot="1">
      <c r="A326" s="163" t="s">
        <v>97</v>
      </c>
      <c r="B326" s="164"/>
      <c r="C326" s="164"/>
      <c r="D326" s="164"/>
      <c r="E326" s="164"/>
      <c r="F326" s="164"/>
      <c r="G326" s="176"/>
      <c r="H326" s="134">
        <f>SUM(H323:H325)</f>
        <v>0</v>
      </c>
    </row>
    <row r="327" spans="1:8" ht="15.75" customHeight="1" thickBot="1">
      <c r="A327" s="193" t="s">
        <v>193</v>
      </c>
      <c r="B327" s="194"/>
      <c r="C327" s="194"/>
      <c r="D327" s="194"/>
      <c r="E327" s="194"/>
      <c r="F327" s="194"/>
      <c r="G327" s="195"/>
      <c r="H327" s="135">
        <f>IF(H326&lt;=4,H326,4)</f>
        <v>0</v>
      </c>
    </row>
    <row r="329" ht="15.75" thickBot="1"/>
    <row r="330" spans="1:8" ht="24.75" customHeight="1" thickBot="1">
      <c r="A330" s="168" t="s">
        <v>335</v>
      </c>
      <c r="B330" s="169"/>
      <c r="C330" s="169"/>
      <c r="D330" s="169"/>
      <c r="E330" s="169"/>
      <c r="F330" s="169"/>
      <c r="G330" s="169"/>
      <c r="H330" s="170"/>
    </row>
    <row r="331" spans="1:8" ht="15.75" thickBot="1">
      <c r="A331" s="157" t="s">
        <v>207</v>
      </c>
      <c r="B331" s="158"/>
      <c r="C331" s="158"/>
      <c r="D331" s="158"/>
      <c r="E331" s="158"/>
      <c r="F331" s="158"/>
      <c r="G331" s="159"/>
      <c r="H331" s="128">
        <f>H327</f>
        <v>0</v>
      </c>
    </row>
    <row r="332" spans="1:8" ht="15.75" thickBot="1">
      <c r="A332" s="157" t="s">
        <v>149</v>
      </c>
      <c r="B332" s="158"/>
      <c r="C332" s="158"/>
      <c r="D332" s="158"/>
      <c r="E332" s="158"/>
      <c r="F332" s="158"/>
      <c r="G332" s="159"/>
      <c r="H332" s="126">
        <v>1</v>
      </c>
    </row>
    <row r="333" spans="1:8" ht="19.5" customHeight="1" thickBot="1">
      <c r="A333" s="151" t="s">
        <v>336</v>
      </c>
      <c r="B333" s="151"/>
      <c r="C333" s="151"/>
      <c r="D333" s="151"/>
      <c r="E333" s="151"/>
      <c r="F333" s="151"/>
      <c r="G333" s="151"/>
      <c r="H333" s="127">
        <f>ROUND(H331/H332,1)</f>
        <v>0</v>
      </c>
    </row>
    <row r="338" spans="1:8" ht="33" customHeight="1">
      <c r="A338" s="297" t="s">
        <v>289</v>
      </c>
      <c r="B338" s="298"/>
      <c r="C338" s="298"/>
      <c r="D338" s="298"/>
      <c r="E338" s="298"/>
      <c r="F338" s="298"/>
      <c r="G338" s="298"/>
      <c r="H338" s="298"/>
    </row>
    <row r="339" ht="16.5" thickBot="1">
      <c r="A339" s="46"/>
    </row>
    <row r="340" spans="1:8" ht="16.5" thickBot="1">
      <c r="A340" s="187" t="s">
        <v>208</v>
      </c>
      <c r="B340" s="188"/>
      <c r="C340" s="188"/>
      <c r="D340" s="188"/>
      <c r="E340" s="188"/>
      <c r="F340" s="188"/>
      <c r="G340" s="188"/>
      <c r="H340" s="189"/>
    </row>
    <row r="341" spans="1:8" ht="26.25" customHeight="1" thickBot="1">
      <c r="A341" s="84" t="s">
        <v>287</v>
      </c>
      <c r="B341" s="178" t="s">
        <v>288</v>
      </c>
      <c r="C341" s="178"/>
      <c r="D341" s="178"/>
      <c r="E341" s="178"/>
      <c r="F341" s="178"/>
      <c r="G341" s="178"/>
      <c r="H341" s="50" t="s">
        <v>209</v>
      </c>
    </row>
    <row r="342" spans="1:8" ht="15.75" thickBot="1">
      <c r="A342" s="99" t="s">
        <v>79</v>
      </c>
      <c r="B342" s="177" t="s">
        <v>210</v>
      </c>
      <c r="C342" s="177"/>
      <c r="D342" s="177"/>
      <c r="E342" s="177"/>
      <c r="F342" s="177"/>
      <c r="G342" s="177"/>
      <c r="H342" s="136">
        <f>H217</f>
        <v>0</v>
      </c>
    </row>
    <row r="343" spans="1:8" ht="15.75" thickBot="1">
      <c r="A343" s="99" t="s">
        <v>161</v>
      </c>
      <c r="B343" s="177" t="s">
        <v>211</v>
      </c>
      <c r="C343" s="177"/>
      <c r="D343" s="177"/>
      <c r="E343" s="177"/>
      <c r="F343" s="177"/>
      <c r="G343" s="177"/>
      <c r="H343" s="136">
        <f>H313</f>
        <v>0</v>
      </c>
    </row>
    <row r="344" spans="1:8" ht="15.75" thickBot="1">
      <c r="A344" s="99" t="s">
        <v>192</v>
      </c>
      <c r="B344" s="177" t="s">
        <v>212</v>
      </c>
      <c r="C344" s="177"/>
      <c r="D344" s="177"/>
      <c r="E344" s="177"/>
      <c r="F344" s="177"/>
      <c r="G344" s="177"/>
      <c r="H344" s="136">
        <f>H333</f>
        <v>0</v>
      </c>
    </row>
    <row r="345" spans="1:8" ht="31.5" customHeight="1" thickBot="1">
      <c r="A345" s="184" t="s">
        <v>290</v>
      </c>
      <c r="B345" s="185"/>
      <c r="C345" s="185"/>
      <c r="D345" s="185"/>
      <c r="E345" s="185"/>
      <c r="F345" s="185"/>
      <c r="G345" s="186"/>
      <c r="H345" s="137">
        <f>SUM(H342:H344)</f>
        <v>0</v>
      </c>
    </row>
    <row r="346" ht="15.75">
      <c r="A346" s="46"/>
    </row>
    <row r="347" ht="15.75">
      <c r="A347" s="46"/>
    </row>
    <row r="348" spans="1:8" ht="57.75" customHeight="1">
      <c r="A348" s="172" t="s">
        <v>350</v>
      </c>
      <c r="B348" s="172"/>
      <c r="C348" s="172"/>
      <c r="D348" s="172"/>
      <c r="E348" s="172"/>
      <c r="F348" s="172"/>
      <c r="G348" s="172"/>
      <c r="H348" s="172"/>
    </row>
    <row r="349" ht="15">
      <c r="A349" s="47"/>
    </row>
    <row r="350" spans="1:8" ht="15">
      <c r="A350" s="51" t="s">
        <v>214</v>
      </c>
      <c r="E350" s="100" t="s">
        <v>213</v>
      </c>
      <c r="F350" s="173" t="s">
        <v>227</v>
      </c>
      <c r="G350" s="173"/>
      <c r="H350" s="173"/>
    </row>
    <row r="351" spans="1:8" ht="15">
      <c r="A351" s="101">
        <f ca="1">TODAY()</f>
        <v>42466</v>
      </c>
      <c r="F351" s="174" t="str">
        <f>"( "&amp;IF(Настройка!A6&lt;&gt;"",Настройка!A6,"звание, степен, име презиме и фамилия")&amp;" )"</f>
        <v>( звание, степен, име презиме и фамилия )</v>
      </c>
      <c r="G351" s="174"/>
      <c r="H351" s="174"/>
    </row>
    <row r="352" spans="1:8" ht="15">
      <c r="A352" s="29"/>
      <c r="F352" s="175"/>
      <c r="G352" s="175"/>
      <c r="H352" s="175"/>
    </row>
    <row r="353" spans="1:8" ht="15">
      <c r="A353" s="29"/>
      <c r="F353" s="198"/>
      <c r="G353" s="198"/>
      <c r="H353" s="198"/>
    </row>
    <row r="354" ht="15">
      <c r="A354" s="48"/>
    </row>
    <row r="355" ht="15">
      <c r="A355" s="49"/>
    </row>
  </sheetData>
  <sheetProtection password="CC5A" sheet="1" formatColumns="0" formatRows="0" selectLockedCells="1"/>
  <mergeCells count="280">
    <mergeCell ref="B85:H85"/>
    <mergeCell ref="A131:C131"/>
    <mergeCell ref="B244:H244"/>
    <mergeCell ref="B284:H284"/>
    <mergeCell ref="B320:H320"/>
    <mergeCell ref="A338:H338"/>
    <mergeCell ref="A215:G215"/>
    <mergeCell ref="A90:B90"/>
    <mergeCell ref="A91:B91"/>
    <mergeCell ref="A130:C130"/>
    <mergeCell ref="B1:H1"/>
    <mergeCell ref="B83:H83"/>
    <mergeCell ref="B40:H40"/>
    <mergeCell ref="B100:H100"/>
    <mergeCell ref="B152:H152"/>
    <mergeCell ref="C200:G200"/>
    <mergeCell ref="B164:H164"/>
    <mergeCell ref="A87:B87"/>
    <mergeCell ref="A88:B88"/>
    <mergeCell ref="A89:B89"/>
    <mergeCell ref="A110:G110"/>
    <mergeCell ref="A97:G97"/>
    <mergeCell ref="B180:H180"/>
    <mergeCell ref="B195:H195"/>
    <mergeCell ref="A246:D246"/>
    <mergeCell ref="A159:G159"/>
    <mergeCell ref="A161:G161"/>
    <mergeCell ref="A193:H193"/>
    <mergeCell ref="B178:H178"/>
    <mergeCell ref="B166:H166"/>
    <mergeCell ref="A234:B235"/>
    <mergeCell ref="A227:E227"/>
    <mergeCell ref="A228:B229"/>
    <mergeCell ref="A230:B231"/>
    <mergeCell ref="A232:B233"/>
    <mergeCell ref="A123:C123"/>
    <mergeCell ref="A124:C124"/>
    <mergeCell ref="A125:C125"/>
    <mergeCell ref="A126:C126"/>
    <mergeCell ref="A127:C127"/>
    <mergeCell ref="A199:B199"/>
    <mergeCell ref="A132:C132"/>
    <mergeCell ref="B182:G182"/>
    <mergeCell ref="B183:G183"/>
    <mergeCell ref="B168:G168"/>
    <mergeCell ref="B169:G169"/>
    <mergeCell ref="B170:G170"/>
    <mergeCell ref="A137:C137"/>
    <mergeCell ref="E138:F138"/>
    <mergeCell ref="A173:G173"/>
    <mergeCell ref="A149:G149"/>
    <mergeCell ref="F124:G124"/>
    <mergeCell ref="F125:G125"/>
    <mergeCell ref="F126:G126"/>
    <mergeCell ref="A247:D247"/>
    <mergeCell ref="F133:G133"/>
    <mergeCell ref="F134:G134"/>
    <mergeCell ref="A135:G135"/>
    <mergeCell ref="E137:F137"/>
    <mergeCell ref="A133:C133"/>
    <mergeCell ref="A134:C134"/>
    <mergeCell ref="F131:G131"/>
    <mergeCell ref="B185:G185"/>
    <mergeCell ref="A186:G186"/>
    <mergeCell ref="F132:G132"/>
    <mergeCell ref="F127:G127"/>
    <mergeCell ref="A128:G128"/>
    <mergeCell ref="A138:C138"/>
    <mergeCell ref="A139:C139"/>
    <mergeCell ref="A140:C140"/>
    <mergeCell ref="F130:G130"/>
    <mergeCell ref="E69:E70"/>
    <mergeCell ref="A77:G77"/>
    <mergeCell ref="A102:A104"/>
    <mergeCell ref="B102:H104"/>
    <mergeCell ref="A112:G112"/>
    <mergeCell ref="A114:G114"/>
    <mergeCell ref="A106:G106"/>
    <mergeCell ref="A107:G107"/>
    <mergeCell ref="A108:G108"/>
    <mergeCell ref="A109:G109"/>
    <mergeCell ref="A35:A36"/>
    <mergeCell ref="B35:H36"/>
    <mergeCell ref="A72:B72"/>
    <mergeCell ref="A73:B73"/>
    <mergeCell ref="A74:B74"/>
    <mergeCell ref="A71:H71"/>
    <mergeCell ref="A38:H38"/>
    <mergeCell ref="C69:C70"/>
    <mergeCell ref="D69:D70"/>
    <mergeCell ref="H69:H70"/>
    <mergeCell ref="A30:H30"/>
    <mergeCell ref="B42:H43"/>
    <mergeCell ref="A42:A43"/>
    <mergeCell ref="D44:E44"/>
    <mergeCell ref="B65:H67"/>
    <mergeCell ref="A65:A67"/>
    <mergeCell ref="F59:H59"/>
    <mergeCell ref="F60:H60"/>
    <mergeCell ref="D51:E51"/>
    <mergeCell ref="D52:E52"/>
    <mergeCell ref="B3:H3"/>
    <mergeCell ref="B2:H2"/>
    <mergeCell ref="A13:H13"/>
    <mergeCell ref="A14:H14"/>
    <mergeCell ref="A18:H18"/>
    <mergeCell ref="A19:H19"/>
    <mergeCell ref="A50:H50"/>
    <mergeCell ref="F45:H45"/>
    <mergeCell ref="D45:E45"/>
    <mergeCell ref="F123:G123"/>
    <mergeCell ref="A79:G79"/>
    <mergeCell ref="A111:G111"/>
    <mergeCell ref="A76:G76"/>
    <mergeCell ref="A113:G113"/>
    <mergeCell ref="A115:G115"/>
    <mergeCell ref="A119:A121"/>
    <mergeCell ref="B119:H121"/>
    <mergeCell ref="A92:E92"/>
    <mergeCell ref="A93:G93"/>
    <mergeCell ref="A75:B75"/>
    <mergeCell ref="F69:G69"/>
    <mergeCell ref="A69:B70"/>
    <mergeCell ref="A258:D258"/>
    <mergeCell ref="F258:G258"/>
    <mergeCell ref="A216:G216"/>
    <mergeCell ref="A217:G217"/>
    <mergeCell ref="C234:E234"/>
    <mergeCell ref="C235:E235"/>
    <mergeCell ref="A200:B200"/>
    <mergeCell ref="B184:G184"/>
    <mergeCell ref="E139:F139"/>
    <mergeCell ref="C199:G199"/>
    <mergeCell ref="B171:G171"/>
    <mergeCell ref="A172:G172"/>
    <mergeCell ref="E140:F140"/>
    <mergeCell ref="E141:F141"/>
    <mergeCell ref="A145:G145"/>
    <mergeCell ref="A144:G144"/>
    <mergeCell ref="A142:F142"/>
    <mergeCell ref="A141:C141"/>
    <mergeCell ref="B154:H154"/>
    <mergeCell ref="F260:G260"/>
    <mergeCell ref="A187:G187"/>
    <mergeCell ref="A189:G189"/>
    <mergeCell ref="H156:H157"/>
    <mergeCell ref="A156:G156"/>
    <mergeCell ref="A157:G157"/>
    <mergeCell ref="A158:G158"/>
    <mergeCell ref="A175:G175"/>
    <mergeCell ref="B203:H203"/>
    <mergeCell ref="A275:D275"/>
    <mergeCell ref="A276:D276"/>
    <mergeCell ref="C207:D207"/>
    <mergeCell ref="C208:D208"/>
    <mergeCell ref="A211:H211"/>
    <mergeCell ref="A212:G212"/>
    <mergeCell ref="A213:G213"/>
    <mergeCell ref="A214:G214"/>
    <mergeCell ref="A263:G263"/>
    <mergeCell ref="C233:E233"/>
    <mergeCell ref="C231:E231"/>
    <mergeCell ref="A250:G250"/>
    <mergeCell ref="A251:G251"/>
    <mergeCell ref="F246:G246"/>
    <mergeCell ref="F259:G259"/>
    <mergeCell ref="A259:D259"/>
    <mergeCell ref="A257:D257"/>
    <mergeCell ref="F257:G257"/>
    <mergeCell ref="A249:D249"/>
    <mergeCell ref="B221:H221"/>
    <mergeCell ref="C228:E228"/>
    <mergeCell ref="C229:E229"/>
    <mergeCell ref="A236:G236"/>
    <mergeCell ref="B242:H242"/>
    <mergeCell ref="A237:G237"/>
    <mergeCell ref="A238:G238"/>
    <mergeCell ref="B223:H223"/>
    <mergeCell ref="C230:E230"/>
    <mergeCell ref="C232:E232"/>
    <mergeCell ref="F247:G247"/>
    <mergeCell ref="F248:G248"/>
    <mergeCell ref="F249:G249"/>
    <mergeCell ref="A248:D248"/>
    <mergeCell ref="B286:H286"/>
    <mergeCell ref="E288:G288"/>
    <mergeCell ref="A260:D260"/>
    <mergeCell ref="A288:C288"/>
    <mergeCell ref="F274:G274"/>
    <mergeCell ref="A266:G266"/>
    <mergeCell ref="A289:C289"/>
    <mergeCell ref="A290:C290"/>
    <mergeCell ref="A252:G252"/>
    <mergeCell ref="B255:H255"/>
    <mergeCell ref="A261:G261"/>
    <mergeCell ref="A262:G262"/>
    <mergeCell ref="E289:G289"/>
    <mergeCell ref="A274:D274"/>
    <mergeCell ref="A279:G279"/>
    <mergeCell ref="A265:G265"/>
    <mergeCell ref="F298:G298"/>
    <mergeCell ref="F299:G299"/>
    <mergeCell ref="F275:G275"/>
    <mergeCell ref="F276:G276"/>
    <mergeCell ref="A277:G277"/>
    <mergeCell ref="A278:G278"/>
    <mergeCell ref="A291:C291"/>
    <mergeCell ref="A297:D297"/>
    <mergeCell ref="F297:G297"/>
    <mergeCell ref="A280:G280"/>
    <mergeCell ref="D56:E56"/>
    <mergeCell ref="D55:E55"/>
    <mergeCell ref="A53:E53"/>
    <mergeCell ref="F53:H53"/>
    <mergeCell ref="F47:H47"/>
    <mergeCell ref="F48:H48"/>
    <mergeCell ref="F51:H51"/>
    <mergeCell ref="F52:H52"/>
    <mergeCell ref="F55:H55"/>
    <mergeCell ref="D47:E47"/>
    <mergeCell ref="D48:E48"/>
    <mergeCell ref="A46:H46"/>
    <mergeCell ref="F49:H49"/>
    <mergeCell ref="A49:E49"/>
    <mergeCell ref="F353:H353"/>
    <mergeCell ref="A54:H54"/>
    <mergeCell ref="A58:E58"/>
    <mergeCell ref="A59:E59"/>
    <mergeCell ref="A60:E60"/>
    <mergeCell ref="F58:H58"/>
    <mergeCell ref="F56:H56"/>
    <mergeCell ref="A57:E57"/>
    <mergeCell ref="F57:H57"/>
    <mergeCell ref="A298:D298"/>
    <mergeCell ref="A345:G345"/>
    <mergeCell ref="A340:H340"/>
    <mergeCell ref="A322:G322"/>
    <mergeCell ref="A323:G323"/>
    <mergeCell ref="A327:G327"/>
    <mergeCell ref="A330:H330"/>
    <mergeCell ref="A348:H348"/>
    <mergeCell ref="F350:H350"/>
    <mergeCell ref="F351:H351"/>
    <mergeCell ref="F352:H352"/>
    <mergeCell ref="A333:G333"/>
    <mergeCell ref="A326:G326"/>
    <mergeCell ref="B342:G342"/>
    <mergeCell ref="B343:G343"/>
    <mergeCell ref="B344:G344"/>
    <mergeCell ref="B341:G341"/>
    <mergeCell ref="A331:G331"/>
    <mergeCell ref="A332:G332"/>
    <mergeCell ref="A324:G324"/>
    <mergeCell ref="A325:G325"/>
    <mergeCell ref="A301:G301"/>
    <mergeCell ref="A305:G305"/>
    <mergeCell ref="A309:H309"/>
    <mergeCell ref="A310:G310"/>
    <mergeCell ref="A311:G311"/>
    <mergeCell ref="B317:H317"/>
    <mergeCell ref="A312:G312"/>
    <mergeCell ref="A313:G313"/>
    <mergeCell ref="B303:H303"/>
    <mergeCell ref="B95:H95"/>
    <mergeCell ref="B197:H197"/>
    <mergeCell ref="A300:D300"/>
    <mergeCell ref="E290:G290"/>
    <mergeCell ref="A292:G292"/>
    <mergeCell ref="E291:G291"/>
    <mergeCell ref="B295:H295"/>
    <mergeCell ref="F300:G300"/>
    <mergeCell ref="A299:D299"/>
    <mergeCell ref="B205:H205"/>
    <mergeCell ref="B225:H225"/>
    <mergeCell ref="B268:H268"/>
    <mergeCell ref="B117:H117"/>
    <mergeCell ref="B282:H282"/>
    <mergeCell ref="B270:H270"/>
    <mergeCell ref="B272:H272"/>
    <mergeCell ref="B147:H147"/>
  </mergeCells>
  <dataValidations count="7">
    <dataValidation type="list" allowBlank="1" showInputMessage="1" showErrorMessage="1" sqref="A323:G325">
      <formula1>tablica51f</formula1>
    </dataValidation>
    <dataValidation type="list" allowBlank="1" showInputMessage="1" showErrorMessage="1" sqref="A289:C291">
      <formula1>tablica441f</formula1>
    </dataValidation>
    <dataValidation type="list" allowBlank="1" showInputMessage="1" showErrorMessage="1" sqref="C208:D208 A200:B200">
      <formula1>tablica37f</formula1>
    </dataValidation>
    <dataValidation type="list" allowBlank="1" showInputMessage="1" showErrorMessage="1" sqref="B183:G185 B169:G171">
      <formula1>"Обективно няма възможност да води,0,'1-5,'6-10,Над 10"</formula1>
    </dataValidation>
    <dataValidation type="list" allowBlank="1" showInputMessage="1" showErrorMessage="1" sqref="A158:G158">
      <formula1>tablica33f</formula1>
    </dataValidation>
    <dataValidation type="list" allowBlank="1" showInputMessage="1" showErrorMessage="1" sqref="C132:G134 D124:G127 C125:C127 D131:G131 D138:F141 C139:C141 G88:G91 C72:D75">
      <formula1>"Да,Не"</formula1>
    </dataValidation>
    <dataValidation type="list" allowBlank="1" showInputMessage="1" showErrorMessage="1" sqref="F72:F75">
      <formula1>"ПБ,Б,М,M(Б)"</formula1>
    </dataValidation>
  </dataValidations>
  <printOptions horizontalCentered="1"/>
  <pageMargins left="0.4724409448818898" right="0.2362204724409449" top="0.7480314960629921" bottom="0.7480314960629921" header="0.31496062992125984" footer="0.31496062992125984"/>
  <pageSetup fitToHeight="0" fitToWidth="1" horizontalDpi="600" verticalDpi="600" orientation="portrait" paperSize="9" scale="77" r:id="rId4"/>
  <headerFooter differentFirst="1">
    <oddFooter>&amp;C- &amp;P -</oddFooter>
  </headerFooter>
  <rowBreaks count="6" manualBreakCount="6">
    <brk id="33" max="255" man="1"/>
    <brk id="82" max="255" man="1"/>
    <brk id="220" max="255" man="1"/>
    <brk id="254" max="255" man="1"/>
    <brk id="294" max="255" man="1"/>
    <brk id="33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18">
      <selection activeCell="B120" sqref="B120"/>
    </sheetView>
  </sheetViews>
  <sheetFormatPr defaultColWidth="9.140625" defaultRowHeight="15"/>
  <cols>
    <col min="1" max="1" width="44.28125" style="0" bestFit="1" customWidth="1"/>
    <col min="2" max="2" width="41.421875" style="0" bestFit="1" customWidth="1"/>
    <col min="3" max="3" width="29.421875" style="0" bestFit="1" customWidth="1"/>
    <col min="4" max="4" width="19.421875" style="0" customWidth="1"/>
    <col min="5" max="5" width="15.421875" style="0" customWidth="1"/>
  </cols>
  <sheetData>
    <row r="1" spans="1:3" ht="15">
      <c r="A1" t="s">
        <v>15</v>
      </c>
      <c r="B1" t="s">
        <v>16</v>
      </c>
      <c r="C1" t="s">
        <v>17</v>
      </c>
    </row>
    <row r="2" spans="1:3" ht="15">
      <c r="A2" t="s">
        <v>18</v>
      </c>
      <c r="B2" t="s">
        <v>19</v>
      </c>
      <c r="C2" t="s">
        <v>20</v>
      </c>
    </row>
    <row r="3" spans="1:3" ht="15">
      <c r="A3" t="s">
        <v>21</v>
      </c>
      <c r="B3" t="s">
        <v>22</v>
      </c>
      <c r="C3" t="s">
        <v>352</v>
      </c>
    </row>
    <row r="4" spans="1:3" ht="15">
      <c r="A4" t="s">
        <v>23</v>
      </c>
      <c r="B4" t="s">
        <v>24</v>
      </c>
      <c r="C4" t="s">
        <v>353</v>
      </c>
    </row>
    <row r="5" spans="1:3" ht="15">
      <c r="A5" t="s">
        <v>25</v>
      </c>
      <c r="B5" t="s">
        <v>26</v>
      </c>
      <c r="C5" t="s">
        <v>354</v>
      </c>
    </row>
    <row r="6" spans="1:3" ht="15">
      <c r="A6" t="s">
        <v>27</v>
      </c>
      <c r="B6" t="s">
        <v>28</v>
      </c>
      <c r="C6" t="s">
        <v>29</v>
      </c>
    </row>
    <row r="8" spans="1:6" ht="15">
      <c r="A8" t="s">
        <v>30</v>
      </c>
      <c r="B8" t="s">
        <v>15</v>
      </c>
      <c r="C8" t="s">
        <v>16</v>
      </c>
      <c r="D8" t="s">
        <v>31</v>
      </c>
      <c r="E8" t="s">
        <v>32</v>
      </c>
      <c r="F8" t="s">
        <v>33</v>
      </c>
    </row>
    <row r="9" spans="1:6" ht="15">
      <c r="A9">
        <v>1</v>
      </c>
      <c r="B9" t="s">
        <v>116</v>
      </c>
      <c r="C9" t="s">
        <v>34</v>
      </c>
      <c r="D9" t="s">
        <v>35</v>
      </c>
      <c r="E9" t="s">
        <v>19</v>
      </c>
      <c r="F9" t="s">
        <v>36</v>
      </c>
    </row>
    <row r="10" spans="1:6" ht="15">
      <c r="A10">
        <v>2</v>
      </c>
      <c r="B10" t="s">
        <v>117</v>
      </c>
      <c r="C10" t="s">
        <v>37</v>
      </c>
      <c r="D10" t="s">
        <v>35</v>
      </c>
      <c r="E10" t="s">
        <v>19</v>
      </c>
      <c r="F10" t="s">
        <v>38</v>
      </c>
    </row>
    <row r="11" spans="1:6" ht="15">
      <c r="A11">
        <v>3</v>
      </c>
      <c r="B11" t="s">
        <v>118</v>
      </c>
      <c r="C11" t="s">
        <v>39</v>
      </c>
      <c r="D11" t="s">
        <v>35</v>
      </c>
      <c r="E11" t="s">
        <v>19</v>
      </c>
      <c r="F11" t="s">
        <v>40</v>
      </c>
    </row>
    <row r="12" spans="1:6" ht="15">
      <c r="A12">
        <v>19</v>
      </c>
      <c r="B12" t="s">
        <v>130</v>
      </c>
      <c r="C12" t="s">
        <v>73</v>
      </c>
      <c r="D12" t="s">
        <v>71</v>
      </c>
      <c r="E12" t="s">
        <v>28</v>
      </c>
      <c r="F12" t="s">
        <v>74</v>
      </c>
    </row>
    <row r="13" spans="1:6" ht="15">
      <c r="A13">
        <v>4</v>
      </c>
      <c r="B13" t="s">
        <v>119</v>
      </c>
      <c r="C13" t="s">
        <v>41</v>
      </c>
      <c r="D13" t="s">
        <v>42</v>
      </c>
      <c r="E13" t="s">
        <v>22</v>
      </c>
      <c r="F13" t="s">
        <v>43</v>
      </c>
    </row>
    <row r="14" spans="1:6" ht="15">
      <c r="A14">
        <v>5</v>
      </c>
      <c r="B14" t="s">
        <v>355</v>
      </c>
      <c r="C14" t="s">
        <v>44</v>
      </c>
      <c r="D14" t="s">
        <v>42</v>
      </c>
      <c r="E14" t="s">
        <v>22</v>
      </c>
      <c r="F14" t="s">
        <v>45</v>
      </c>
    </row>
    <row r="15" spans="1:6" ht="15">
      <c r="A15">
        <v>7</v>
      </c>
      <c r="B15" t="s">
        <v>120</v>
      </c>
      <c r="C15" t="s">
        <v>46</v>
      </c>
      <c r="D15" t="s">
        <v>42</v>
      </c>
      <c r="E15" t="s">
        <v>22</v>
      </c>
      <c r="F15" t="s">
        <v>47</v>
      </c>
    </row>
    <row r="16" spans="1:6" ht="15">
      <c r="A16">
        <v>20</v>
      </c>
      <c r="B16" t="s">
        <v>356</v>
      </c>
      <c r="C16" t="s">
        <v>75</v>
      </c>
      <c r="D16" t="s">
        <v>71</v>
      </c>
      <c r="E16" t="s">
        <v>28</v>
      </c>
      <c r="F16" t="s">
        <v>76</v>
      </c>
    </row>
    <row r="17" spans="1:6" ht="15">
      <c r="A17">
        <v>8</v>
      </c>
      <c r="B17" t="s">
        <v>121</v>
      </c>
      <c r="C17" t="s">
        <v>48</v>
      </c>
      <c r="D17" t="s">
        <v>49</v>
      </c>
      <c r="E17" t="s">
        <v>24</v>
      </c>
      <c r="F17" t="s">
        <v>50</v>
      </c>
    </row>
    <row r="18" spans="1:6" ht="15">
      <c r="A18">
        <v>9</v>
      </c>
      <c r="B18" t="s">
        <v>122</v>
      </c>
      <c r="C18" t="s">
        <v>51</v>
      </c>
      <c r="D18" t="s">
        <v>49</v>
      </c>
      <c r="E18" t="s">
        <v>24</v>
      </c>
      <c r="F18" t="s">
        <v>52</v>
      </c>
    </row>
    <row r="19" spans="1:6" ht="15">
      <c r="A19">
        <v>10</v>
      </c>
      <c r="B19" t="s">
        <v>123</v>
      </c>
      <c r="C19" t="s">
        <v>53</v>
      </c>
      <c r="D19" t="s">
        <v>49</v>
      </c>
      <c r="E19" t="s">
        <v>24</v>
      </c>
      <c r="F19" t="s">
        <v>54</v>
      </c>
    </row>
    <row r="20" spans="1:6" ht="15">
      <c r="A20">
        <v>11</v>
      </c>
      <c r="B20" t="s">
        <v>124</v>
      </c>
      <c r="C20" t="s">
        <v>55</v>
      </c>
      <c r="D20" t="s">
        <v>49</v>
      </c>
      <c r="E20" t="s">
        <v>24</v>
      </c>
      <c r="F20" t="s">
        <v>56</v>
      </c>
    </row>
    <row r="21" spans="1:6" ht="15">
      <c r="A21">
        <v>12</v>
      </c>
      <c r="B21" t="s">
        <v>125</v>
      </c>
      <c r="C21" t="s">
        <v>57</v>
      </c>
      <c r="D21" t="s">
        <v>49</v>
      </c>
      <c r="E21" t="s">
        <v>24</v>
      </c>
      <c r="F21" t="s">
        <v>58</v>
      </c>
    </row>
    <row r="22" spans="1:6" ht="15">
      <c r="A22">
        <v>13</v>
      </c>
      <c r="B22" t="s">
        <v>126</v>
      </c>
      <c r="C22" t="s">
        <v>59</v>
      </c>
      <c r="D22" t="s">
        <v>60</v>
      </c>
      <c r="E22" t="s">
        <v>26</v>
      </c>
      <c r="F22" t="s">
        <v>61</v>
      </c>
    </row>
    <row r="23" spans="1:6" ht="15">
      <c r="A23">
        <v>14</v>
      </c>
      <c r="B23" t="s">
        <v>127</v>
      </c>
      <c r="C23" t="s">
        <v>62</v>
      </c>
      <c r="D23" t="s">
        <v>60</v>
      </c>
      <c r="E23" t="s">
        <v>26</v>
      </c>
      <c r="F23" t="s">
        <v>63</v>
      </c>
    </row>
    <row r="24" spans="1:6" ht="15">
      <c r="A24">
        <v>15</v>
      </c>
      <c r="B24" t="s">
        <v>357</v>
      </c>
      <c r="C24" t="s">
        <v>64</v>
      </c>
      <c r="D24" t="s">
        <v>60</v>
      </c>
      <c r="E24" t="s">
        <v>26</v>
      </c>
      <c r="F24" t="s">
        <v>65</v>
      </c>
    </row>
    <row r="25" spans="1:6" ht="15">
      <c r="A25">
        <v>16</v>
      </c>
      <c r="B25" t="s">
        <v>366</v>
      </c>
      <c r="C25" t="s">
        <v>66</v>
      </c>
      <c r="D25" t="s">
        <v>60</v>
      </c>
      <c r="E25" t="s">
        <v>26</v>
      </c>
      <c r="F25" t="s">
        <v>67</v>
      </c>
    </row>
    <row r="26" spans="1:6" ht="15">
      <c r="A26">
        <v>17</v>
      </c>
      <c r="B26" t="s">
        <v>128</v>
      </c>
      <c r="C26" t="s">
        <v>68</v>
      </c>
      <c r="D26" t="s">
        <v>60</v>
      </c>
      <c r="E26" t="s">
        <v>26</v>
      </c>
      <c r="F26" t="s">
        <v>69</v>
      </c>
    </row>
    <row r="27" spans="1:6" ht="15">
      <c r="A27">
        <v>18</v>
      </c>
      <c r="B27" t="s">
        <v>129</v>
      </c>
      <c r="C27" t="s">
        <v>70</v>
      </c>
      <c r="D27" t="s">
        <v>71</v>
      </c>
      <c r="E27" t="s">
        <v>28</v>
      </c>
      <c r="F27" t="s">
        <v>72</v>
      </c>
    </row>
    <row r="28" spans="1:6" ht="15">
      <c r="A28">
        <v>19</v>
      </c>
      <c r="B28" t="s">
        <v>130</v>
      </c>
      <c r="C28" t="s">
        <v>73</v>
      </c>
      <c r="D28" t="s">
        <v>71</v>
      </c>
      <c r="E28" t="s">
        <v>28</v>
      </c>
      <c r="F28" t="s">
        <v>74</v>
      </c>
    </row>
    <row r="29" spans="1:6" ht="15">
      <c r="A29">
        <v>20</v>
      </c>
      <c r="B29" t="s">
        <v>131</v>
      </c>
      <c r="C29" t="s">
        <v>75</v>
      </c>
      <c r="D29" t="s">
        <v>71</v>
      </c>
      <c r="E29" t="s">
        <v>28</v>
      </c>
      <c r="F29" t="s">
        <v>76</v>
      </c>
    </row>
    <row r="34" ht="15.75" thickBot="1">
      <c r="A34" s="5" t="s">
        <v>81</v>
      </c>
    </row>
    <row r="35" spans="1:2" ht="25.5">
      <c r="A35" s="9" t="s">
        <v>82</v>
      </c>
      <c r="B35" s="299" t="s">
        <v>14</v>
      </c>
    </row>
    <row r="36" spans="1:2" ht="15.75" thickBot="1">
      <c r="A36" s="10" t="s">
        <v>83</v>
      </c>
      <c r="B36" s="300"/>
    </row>
    <row r="37" spans="1:2" ht="15.75" thickBot="1">
      <c r="A37" s="10">
        <v>0</v>
      </c>
      <c r="B37" s="4">
        <v>2</v>
      </c>
    </row>
    <row r="38" spans="1:2" ht="15.75" thickBot="1">
      <c r="A38" s="13">
        <v>0.81</v>
      </c>
      <c r="B38" s="4">
        <v>4</v>
      </c>
    </row>
    <row r="39" spans="1:2" ht="15.75" thickBot="1">
      <c r="A39" s="13">
        <v>1</v>
      </c>
      <c r="B39" s="4">
        <v>6</v>
      </c>
    </row>
    <row r="40" spans="1:2" ht="15.75" thickBot="1">
      <c r="A40" s="13">
        <v>1.2</v>
      </c>
      <c r="B40" s="4">
        <v>8</v>
      </c>
    </row>
    <row r="42" ht="15">
      <c r="A42" s="5" t="s">
        <v>95</v>
      </c>
    </row>
    <row r="43" spans="1:2" ht="15">
      <c r="A43" t="s">
        <v>88</v>
      </c>
      <c r="B43" s="14">
        <v>0.8</v>
      </c>
    </row>
    <row r="44" spans="1:2" ht="15">
      <c r="A44" t="s">
        <v>87</v>
      </c>
      <c r="B44" s="14">
        <v>1</v>
      </c>
    </row>
    <row r="45" spans="1:2" ht="15">
      <c r="A45" t="s">
        <v>89</v>
      </c>
      <c r="B45" s="14">
        <v>1.5</v>
      </c>
    </row>
    <row r="46" spans="1:2" ht="15">
      <c r="A46" t="s">
        <v>90</v>
      </c>
      <c r="B46" s="14">
        <v>1</v>
      </c>
    </row>
    <row r="48" ht="16.5" thickBot="1">
      <c r="A48" s="20" t="s">
        <v>93</v>
      </c>
    </row>
    <row r="49" spans="1:2" ht="15.75" thickBot="1">
      <c r="A49" s="21" t="s">
        <v>94</v>
      </c>
      <c r="B49" s="8" t="s">
        <v>14</v>
      </c>
    </row>
    <row r="50" spans="1:2" ht="15.75" thickBot="1">
      <c r="A50" s="22">
        <v>0</v>
      </c>
      <c r="B50" s="4">
        <v>0</v>
      </c>
    </row>
    <row r="51" spans="1:2" ht="15.75" thickBot="1">
      <c r="A51" s="22">
        <v>1</v>
      </c>
      <c r="B51" s="4">
        <v>2</v>
      </c>
    </row>
    <row r="52" spans="1:2" ht="15.75" thickBot="1">
      <c r="A52" s="22">
        <v>21</v>
      </c>
      <c r="B52" s="4">
        <v>4</v>
      </c>
    </row>
    <row r="53" spans="1:2" ht="15.75" thickBot="1">
      <c r="A53" s="22">
        <v>51</v>
      </c>
      <c r="B53" s="4">
        <v>6</v>
      </c>
    </row>
    <row r="55" ht="15.75" thickBot="1">
      <c r="A55" t="s">
        <v>132</v>
      </c>
    </row>
    <row r="56" spans="1:2" ht="39.75" thickBot="1">
      <c r="A56" s="23" t="s">
        <v>100</v>
      </c>
      <c r="B56" s="25">
        <v>4</v>
      </c>
    </row>
    <row r="57" spans="1:2" ht="40.5" thickBot="1">
      <c r="A57" s="24" t="s">
        <v>101</v>
      </c>
      <c r="B57" s="26">
        <v>5</v>
      </c>
    </row>
    <row r="58" spans="1:2" ht="27.75" thickBot="1">
      <c r="A58" s="24" t="s">
        <v>102</v>
      </c>
      <c r="B58" s="26">
        <v>5.5</v>
      </c>
    </row>
    <row r="59" spans="1:2" ht="41.25" thickBot="1">
      <c r="A59" s="24" t="s">
        <v>103</v>
      </c>
      <c r="B59" s="26">
        <v>6</v>
      </c>
    </row>
    <row r="61" ht="15.75" thickBot="1"/>
    <row r="62" spans="1:2" ht="15">
      <c r="A62" s="11" t="s">
        <v>108</v>
      </c>
      <c r="B62" s="299" t="s">
        <v>14</v>
      </c>
    </row>
    <row r="63" spans="1:2" ht="15.75" thickBot="1">
      <c r="A63" s="12" t="s">
        <v>109</v>
      </c>
      <c r="B63" s="300"/>
    </row>
    <row r="64" spans="1:2" ht="17.25" customHeight="1" thickBot="1">
      <c r="A64" s="3" t="s">
        <v>107</v>
      </c>
      <c r="B64" s="4">
        <v>0</v>
      </c>
    </row>
    <row r="65" spans="1:2" ht="15.75" thickBot="1">
      <c r="A65" s="3">
        <v>0</v>
      </c>
      <c r="B65" s="4">
        <v>0</v>
      </c>
    </row>
    <row r="66" spans="1:2" ht="15.75" thickBot="1">
      <c r="A66" s="28" t="s">
        <v>111</v>
      </c>
      <c r="B66" s="4">
        <v>2</v>
      </c>
    </row>
    <row r="67" spans="1:2" ht="15.75" thickBot="1">
      <c r="A67" s="28" t="s">
        <v>112</v>
      </c>
      <c r="B67" s="4">
        <v>4</v>
      </c>
    </row>
    <row r="68" spans="1:2" ht="15.75" thickBot="1">
      <c r="A68" s="3" t="s">
        <v>110</v>
      </c>
      <c r="B68" s="4">
        <v>6</v>
      </c>
    </row>
    <row r="69" spans="1:2" ht="15">
      <c r="A69" s="33"/>
      <c r="B69" s="34"/>
    </row>
    <row r="70" ht="15.75" thickBot="1">
      <c r="A70" s="35" t="s">
        <v>141</v>
      </c>
    </row>
    <row r="71" spans="1:2" ht="15">
      <c r="A71" s="17" t="s">
        <v>138</v>
      </c>
      <c r="B71" s="299" t="s">
        <v>14</v>
      </c>
    </row>
    <row r="72" spans="1:2" ht="15.75" thickBot="1">
      <c r="A72" s="18" t="s">
        <v>140</v>
      </c>
      <c r="B72" s="300"/>
    </row>
    <row r="73" spans="1:2" ht="15.75" thickBot="1">
      <c r="A73" s="36">
        <v>0</v>
      </c>
      <c r="B73" s="37">
        <v>0</v>
      </c>
    </row>
    <row r="74" spans="1:2" ht="15.75" thickBot="1">
      <c r="A74" s="13">
        <v>0.06</v>
      </c>
      <c r="B74" s="4">
        <v>6</v>
      </c>
    </row>
    <row r="75" spans="1:2" ht="15.75" thickBot="1">
      <c r="A75" s="13">
        <v>0.11</v>
      </c>
      <c r="B75" s="4">
        <v>8</v>
      </c>
    </row>
    <row r="76" spans="1:2" ht="15.75" thickBot="1">
      <c r="A76" s="13">
        <v>0.21</v>
      </c>
      <c r="B76" s="4">
        <v>10</v>
      </c>
    </row>
    <row r="78" ht="15.75" thickBot="1"/>
    <row r="79" spans="1:2" ht="15.75" thickBot="1">
      <c r="A79" s="21" t="s">
        <v>142</v>
      </c>
      <c r="B79" s="16" t="s">
        <v>14</v>
      </c>
    </row>
    <row r="80" spans="1:2" ht="15.75" thickBot="1">
      <c r="A80" s="1" t="s">
        <v>143</v>
      </c>
      <c r="B80" s="4">
        <v>0</v>
      </c>
    </row>
    <row r="81" spans="1:2" ht="15.75" thickBot="1">
      <c r="A81" s="1" t="s">
        <v>144</v>
      </c>
      <c r="B81" s="4">
        <v>2</v>
      </c>
    </row>
    <row r="82" spans="1:2" ht="15.75" thickBot="1">
      <c r="A82" s="1" t="s">
        <v>145</v>
      </c>
      <c r="B82" s="4">
        <v>4</v>
      </c>
    </row>
    <row r="83" spans="1:2" ht="15.75" thickBot="1">
      <c r="A83" s="1" t="s">
        <v>146</v>
      </c>
      <c r="B83" s="4">
        <v>6</v>
      </c>
    </row>
    <row r="84" spans="1:2" ht="15">
      <c r="A84" s="139" t="s">
        <v>351</v>
      </c>
      <c r="B84">
        <v>0</v>
      </c>
    </row>
    <row r="85" ht="15.75" thickBot="1"/>
    <row r="86" spans="1:2" ht="15.75" thickBot="1">
      <c r="A86" s="39" t="s">
        <v>153</v>
      </c>
      <c r="B86" s="40">
        <v>1</v>
      </c>
    </row>
    <row r="87" spans="1:2" ht="15.75" thickBot="1">
      <c r="A87" s="38" t="s">
        <v>154</v>
      </c>
      <c r="B87" s="4">
        <v>1</v>
      </c>
    </row>
    <row r="88" spans="1:2" ht="26.25" thickBot="1">
      <c r="A88" s="38" t="s">
        <v>155</v>
      </c>
      <c r="B88" s="4">
        <v>1.4</v>
      </c>
    </row>
    <row r="90" ht="15.75" thickBot="1"/>
    <row r="91" spans="1:3" ht="15.75" thickBot="1">
      <c r="A91" s="39" t="s">
        <v>164</v>
      </c>
      <c r="B91" s="40">
        <v>1</v>
      </c>
      <c r="C91" s="25">
        <v>0.5</v>
      </c>
    </row>
    <row r="92" spans="1:3" ht="15.75" thickBot="1">
      <c r="A92" s="38" t="s">
        <v>165</v>
      </c>
      <c r="B92" s="4">
        <v>1.5</v>
      </c>
      <c r="C92" s="26">
        <v>0.75</v>
      </c>
    </row>
    <row r="93" spans="1:3" ht="15.75" thickBot="1">
      <c r="A93" s="38" t="s">
        <v>166</v>
      </c>
      <c r="B93" s="4">
        <v>2</v>
      </c>
      <c r="C93" s="26">
        <v>1</v>
      </c>
    </row>
    <row r="94" ht="15.75" thickBot="1"/>
    <row r="95" spans="1:2" ht="15.75" thickBot="1">
      <c r="A95" s="43" t="s">
        <v>173</v>
      </c>
      <c r="B95" s="40">
        <v>8</v>
      </c>
    </row>
    <row r="96" spans="1:2" ht="15.75" thickBot="1">
      <c r="A96" s="42" t="s">
        <v>174</v>
      </c>
      <c r="B96" s="4">
        <v>5</v>
      </c>
    </row>
    <row r="97" spans="1:2" ht="15.75" thickBot="1">
      <c r="A97" s="42" t="s">
        <v>179</v>
      </c>
      <c r="B97" s="4">
        <v>3</v>
      </c>
    </row>
    <row r="98" spans="1:2" ht="15.75" thickBot="1">
      <c r="A98" s="42" t="s">
        <v>178</v>
      </c>
      <c r="B98" s="4">
        <v>3</v>
      </c>
    </row>
    <row r="99" spans="1:2" ht="15.75" thickBot="1">
      <c r="A99" s="42" t="s">
        <v>175</v>
      </c>
      <c r="B99" s="4">
        <v>2</v>
      </c>
    </row>
    <row r="100" spans="1:2" ht="15.75" thickBot="1">
      <c r="A100" s="42" t="s">
        <v>177</v>
      </c>
      <c r="B100" s="4">
        <v>8</v>
      </c>
    </row>
    <row r="101" spans="1:2" ht="15.75" thickBot="1">
      <c r="A101" s="42" t="s">
        <v>176</v>
      </c>
      <c r="B101" s="4">
        <v>4</v>
      </c>
    </row>
    <row r="102" spans="1:2" ht="15">
      <c r="A102" s="77" t="s">
        <v>246</v>
      </c>
      <c r="B102" s="78">
        <v>0</v>
      </c>
    </row>
    <row r="103" ht="15.75" thickBot="1"/>
    <row r="104" spans="1:2" ht="26.25" thickBot="1">
      <c r="A104" s="39" t="s">
        <v>182</v>
      </c>
      <c r="B104" s="40">
        <v>6</v>
      </c>
    </row>
    <row r="105" spans="1:2" ht="26.25" thickBot="1">
      <c r="A105" s="38" t="s">
        <v>367</v>
      </c>
      <c r="B105" s="4">
        <v>3</v>
      </c>
    </row>
    <row r="106" spans="1:2" ht="26.25" thickBot="1">
      <c r="A106" s="38" t="s">
        <v>368</v>
      </c>
      <c r="B106" s="4">
        <v>0</v>
      </c>
    </row>
    <row r="108" ht="15.75" thickBot="1"/>
    <row r="109" spans="1:3" ht="26.25" thickBot="1">
      <c r="A109" s="39" t="s">
        <v>188</v>
      </c>
      <c r="B109" s="25">
        <v>1</v>
      </c>
      <c r="C109">
        <v>1</v>
      </c>
    </row>
    <row r="110" spans="1:3" ht="26.25" thickBot="1">
      <c r="A110" s="38" t="s">
        <v>189</v>
      </c>
      <c r="B110" s="26">
        <v>1</v>
      </c>
      <c r="C110">
        <v>1</v>
      </c>
    </row>
    <row r="111" spans="1:3" ht="26.25" thickBot="1">
      <c r="A111" s="38" t="s">
        <v>221</v>
      </c>
      <c r="B111" s="26">
        <v>1.2</v>
      </c>
      <c r="C111">
        <v>1</v>
      </c>
    </row>
    <row r="112" spans="1:3" ht="26.25" thickBot="1">
      <c r="A112" s="38" t="s">
        <v>222</v>
      </c>
      <c r="B112" s="26">
        <v>1</v>
      </c>
      <c r="C112">
        <v>1</v>
      </c>
    </row>
    <row r="113" spans="1:3" ht="26.25" thickBot="1">
      <c r="A113" s="38" t="s">
        <v>223</v>
      </c>
      <c r="B113" s="26">
        <v>0.9</v>
      </c>
      <c r="C113">
        <v>1</v>
      </c>
    </row>
    <row r="114" spans="1:3" ht="39" thickBot="1">
      <c r="A114" s="38" t="s">
        <v>190</v>
      </c>
      <c r="B114" s="26">
        <v>0.8</v>
      </c>
      <c r="C114">
        <v>1</v>
      </c>
    </row>
    <row r="115" spans="1:3" ht="26.25" thickBot="1">
      <c r="A115" s="38" t="s">
        <v>191</v>
      </c>
      <c r="B115" s="26">
        <v>0.7</v>
      </c>
      <c r="C115">
        <v>1</v>
      </c>
    </row>
    <row r="116" spans="1:3" ht="26.25" thickBot="1">
      <c r="A116" s="38" t="s">
        <v>155</v>
      </c>
      <c r="B116" s="26">
        <v>1</v>
      </c>
      <c r="C116">
        <v>1.4</v>
      </c>
    </row>
    <row r="118" ht="15.75" thickBot="1"/>
    <row r="119" spans="1:3" ht="18.75" thickBot="1">
      <c r="A119" s="39" t="s">
        <v>194</v>
      </c>
      <c r="B119" s="40">
        <v>4</v>
      </c>
      <c r="C119" s="44"/>
    </row>
    <row r="120" spans="1:3" ht="18.75" thickBot="1">
      <c r="A120" s="38" t="s">
        <v>195</v>
      </c>
      <c r="B120" s="4">
        <v>3.5</v>
      </c>
      <c r="C120" s="44"/>
    </row>
    <row r="121" spans="1:3" ht="26.25" thickBot="1">
      <c r="A121" s="38" t="s">
        <v>369</v>
      </c>
      <c r="B121" s="4">
        <v>3</v>
      </c>
      <c r="C121" s="44"/>
    </row>
    <row r="122" spans="1:3" ht="18.75" thickBot="1">
      <c r="A122" s="38" t="s">
        <v>196</v>
      </c>
      <c r="B122" s="4">
        <v>2.5</v>
      </c>
      <c r="C122" s="44"/>
    </row>
    <row r="123" spans="1:3" ht="26.25" thickBot="1">
      <c r="A123" s="38" t="s">
        <v>370</v>
      </c>
      <c r="B123" s="4">
        <v>2</v>
      </c>
      <c r="C123" s="44"/>
    </row>
    <row r="124" spans="1:3" ht="26.25" thickBot="1">
      <c r="A124" s="38" t="s">
        <v>371</v>
      </c>
      <c r="B124" s="4">
        <v>1.5</v>
      </c>
      <c r="C124" s="44"/>
    </row>
    <row r="125" spans="1:3" ht="26.25" thickBot="1">
      <c r="A125" s="38" t="s">
        <v>359</v>
      </c>
      <c r="B125" s="4">
        <v>1</v>
      </c>
      <c r="C125" s="45"/>
    </row>
    <row r="126" spans="1:3" ht="18.75" thickBot="1">
      <c r="A126" s="38" t="s">
        <v>197</v>
      </c>
      <c r="B126" s="4">
        <v>3</v>
      </c>
      <c r="C126" s="44"/>
    </row>
    <row r="127" spans="1:3" ht="26.25" thickBot="1">
      <c r="A127" s="38" t="s">
        <v>360</v>
      </c>
      <c r="B127" s="4">
        <v>2.5</v>
      </c>
      <c r="C127" s="44"/>
    </row>
    <row r="128" spans="1:3" ht="18.75" thickBot="1">
      <c r="A128" s="38" t="s">
        <v>198</v>
      </c>
      <c r="B128" s="4">
        <v>2</v>
      </c>
      <c r="C128" s="44"/>
    </row>
    <row r="129" spans="1:3" ht="26.25" thickBot="1">
      <c r="A129" s="38" t="s">
        <v>199</v>
      </c>
      <c r="B129" s="4">
        <v>2</v>
      </c>
      <c r="C129" s="44"/>
    </row>
    <row r="130" spans="1:3" ht="18.75" thickBot="1">
      <c r="A130" s="38" t="s">
        <v>200</v>
      </c>
      <c r="B130" s="4">
        <v>2</v>
      </c>
      <c r="C130" s="44"/>
    </row>
    <row r="131" spans="1:3" ht="18.75" thickBot="1">
      <c r="A131" s="38" t="s">
        <v>201</v>
      </c>
      <c r="B131" s="4">
        <v>1.5</v>
      </c>
      <c r="C131" s="44"/>
    </row>
    <row r="132" spans="1:3" ht="18.75" thickBot="1">
      <c r="A132" s="38" t="s">
        <v>202</v>
      </c>
      <c r="B132" s="4">
        <v>1.5</v>
      </c>
      <c r="C132" s="44"/>
    </row>
    <row r="133" spans="1:3" ht="18.75" thickBot="1">
      <c r="A133" s="38" t="s">
        <v>203</v>
      </c>
      <c r="B133" s="4">
        <v>1</v>
      </c>
      <c r="C133" s="44"/>
    </row>
    <row r="134" spans="1:3" ht="18.75" thickBot="1">
      <c r="A134" s="38" t="s">
        <v>361</v>
      </c>
      <c r="B134" s="4">
        <v>1</v>
      </c>
      <c r="C134" s="44"/>
    </row>
    <row r="135" spans="1:3" ht="26.25" thickBot="1">
      <c r="A135" s="38" t="s">
        <v>362</v>
      </c>
      <c r="B135" s="4">
        <v>1</v>
      </c>
      <c r="C135" s="44"/>
    </row>
    <row r="136" spans="1:3" ht="18.75" thickBot="1">
      <c r="A136" s="38" t="s">
        <v>204</v>
      </c>
      <c r="B136" s="4">
        <v>1</v>
      </c>
      <c r="C136" s="45"/>
    </row>
    <row r="137" spans="1:3" ht="26.25" thickBot="1">
      <c r="A137" s="38" t="s">
        <v>363</v>
      </c>
      <c r="B137" s="4">
        <v>1</v>
      </c>
      <c r="C137" s="44"/>
    </row>
    <row r="138" spans="1:3" ht="18.75" thickBot="1">
      <c r="A138" s="38" t="s">
        <v>364</v>
      </c>
      <c r="B138" s="4">
        <v>3</v>
      </c>
      <c r="C138" s="44"/>
    </row>
    <row r="139" spans="1:3" ht="18.75" thickBot="1">
      <c r="A139" s="38" t="s">
        <v>365</v>
      </c>
      <c r="B139" s="4">
        <v>2</v>
      </c>
      <c r="C139" s="44"/>
    </row>
    <row r="140" spans="1:3" ht="26.25" thickBot="1">
      <c r="A140" s="38" t="s">
        <v>205</v>
      </c>
      <c r="B140" s="4">
        <v>2</v>
      </c>
      <c r="C140" s="44"/>
    </row>
    <row r="141" spans="1:3" ht="26.25" thickBot="1">
      <c r="A141" s="38" t="s">
        <v>206</v>
      </c>
      <c r="B141" s="4">
        <v>1.5</v>
      </c>
      <c r="C141" s="44"/>
    </row>
    <row r="144" spans="1:2" ht="15">
      <c r="A144">
        <f>ИндивидуаленОтчет!A72</f>
        <v>0</v>
      </c>
      <c r="B144">
        <f>IF(ИндивидуаленОтчет!C72="Да",ROW(ИндивидуаленОтчет!C72),"")</f>
      </c>
    </row>
    <row r="145" spans="1:2" ht="15">
      <c r="A145">
        <f>ИндивидуаленОтчет!A73</f>
        <v>0</v>
      </c>
      <c r="B145">
        <f>IF(ИндивидуаленОтчет!C73="Да",ROW(ИндивидуаленОтчет!C73),"")</f>
      </c>
    </row>
    <row r="146" spans="1:2" ht="15">
      <c r="A146">
        <f>ИндивидуаленОтчет!A74</f>
        <v>0</v>
      </c>
      <c r="B146">
        <f>IF(ИндивидуаленОтчет!C74="Да",ROW(ИндивидуаленОтчет!C74),"")</f>
      </c>
    </row>
    <row r="147" spans="1:2" ht="15">
      <c r="A147">
        <f>ИндивидуаленОтчет!A75</f>
        <v>0</v>
      </c>
      <c r="B147">
        <f>IF(ИндивидуаленОтчет!C75="Да",ROW(ИндивидуаленОтчет!C75),"")</f>
      </c>
    </row>
  </sheetData>
  <sheetProtection/>
  <mergeCells count="3">
    <mergeCell ref="B35:B36"/>
    <mergeCell ref="B62:B63"/>
    <mergeCell ref="B71:B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2010-10-29T11:10:24Z</cp:lastPrinted>
  <dcterms:created xsi:type="dcterms:W3CDTF">2010-10-12T12:37:27Z</dcterms:created>
  <dcterms:modified xsi:type="dcterms:W3CDTF">2016-04-06T12:57:05Z</dcterms:modified>
  <cp:category/>
  <cp:version/>
  <cp:contentType/>
  <cp:contentStatus/>
</cp:coreProperties>
</file>