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Настройка" sheetId="1" r:id="rId1"/>
    <sheet name="ИндивидуаленОтчет" sheetId="2" r:id="rId2"/>
    <sheet name="Data" sheetId="3" r:id="rId3"/>
  </sheets>
  <definedNames>
    <definedName name="Fakultet">'Data'!$A$2:$A$5</definedName>
    <definedName name="katedri2">'Data'!$A$2:$B$5</definedName>
    <definedName name="OLE_LINK1" localSheetId="1">'ИндивидуаленОтчет'!$A$11</definedName>
    <definedName name="razdel6">'Data'!$A$86:$B$88</definedName>
    <definedName name="razdel62">'Data'!$A$109:$C$116</definedName>
    <definedName name="razdel62f">'Data'!$A$109:$A$116</definedName>
    <definedName name="razdel6f">'Data'!$A$86:$A$88</definedName>
    <definedName name="tablica221">'Data'!$A$91:$C$93</definedName>
    <definedName name="tablica221f">'Data'!$A$91:$A$93</definedName>
    <definedName name="tablica311">'Data'!$A$37:$B$40</definedName>
    <definedName name="tablica312b">'Data'!$A$43:$B$46</definedName>
    <definedName name="tablica321">'Data'!$A$50:$B$53</definedName>
    <definedName name="tablica33">'Data'!$A$56:$B$59</definedName>
    <definedName name="tablica33f">'Data'!$A$56:$A$59</definedName>
    <definedName name="tablica34">'Data'!$A$64:$B$68</definedName>
    <definedName name="tablica361">'Data'!$A$73:$B$76</definedName>
    <definedName name="tablica37">'Data'!$A$80:$B$84</definedName>
    <definedName name="tablica37f">'Data'!$A$80:$A$84</definedName>
    <definedName name="tablica441">'Data'!$A$95:$B$102</definedName>
    <definedName name="tablica441f">'Data'!$A$95:$A$102</definedName>
    <definedName name="tablica442">'Data'!$A$104:$B$106</definedName>
    <definedName name="tablica442f">'Data'!$A$104:$A$106</definedName>
    <definedName name="tablica51">'Data'!$A$119:$B$148</definedName>
    <definedName name="tablica51f">'Data'!$A$119:$A$148</definedName>
    <definedName name="tablica61">'Data'!$A$150:$B$153</definedName>
    <definedName name="tablica61f">'Data'!$A$150:$A$153</definedName>
    <definedName name="tablicaxxl">'Data'!$B$144:$B$147</definedName>
    <definedName name="КИУ">'Data'!$B$27:$B$29</definedName>
    <definedName name="ФММ">'Data'!$B$17:$B$21</definedName>
    <definedName name="ФПТБ">'Data'!$B$22:$B$26</definedName>
    <definedName name="ФСО">'Data'!$B$13:$B$16</definedName>
    <definedName name="ФФ">'Data'!$B$9:$B$12</definedName>
  </definedNames>
  <calcPr fullCalcOnLoad="1"/>
</workbook>
</file>

<file path=xl/comments2.xml><?xml version="1.0" encoding="utf-8"?>
<comments xmlns="http://schemas.openxmlformats.org/spreadsheetml/2006/main">
  <authors>
    <author>yuriy</author>
  </authors>
  <commentList>
    <comment ref="F68" authorId="0">
      <text>
        <r>
          <rPr>
            <sz val="9"/>
            <rFont val="Tahoma"/>
            <family val="2"/>
          </rPr>
          <t xml:space="preserve"> 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69" authorId="0">
      <text>
        <r>
          <rPr>
            <sz val="9"/>
            <rFont val="Tahoma"/>
            <family val="2"/>
          </rPr>
          <t xml:space="preserve"> 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70" authorId="0">
      <text>
        <r>
          <rPr>
            <sz val="9"/>
            <rFont val="Tahoma"/>
            <family val="2"/>
          </rPr>
          <t xml:space="preserve">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F71" authorId="0">
      <text>
        <r>
          <rPr>
            <sz val="9"/>
            <rFont val="Tahoma"/>
            <family val="2"/>
          </rPr>
          <t xml:space="preserve">- ПБ    -  За учебни дисциплини, изнасяни пред студенти в ОКС „Професионален бакалавър”
-   Б      - За учебни дисциплини, изнасяни пред студенти в ОКС „Бакалавър”
-   М    - За учебни дисциплини, изнасяни пред студенти в ОКС „Магистър”
- М(Б)  -  За учебни дисциплини, изнасяни пред студенти в ОКС „Магистър” – неикономисти, които се четат под същото наименование  (респ. същото съдържание) пред студенти в ОКС „Бакалавър”
</t>
        </r>
      </text>
    </comment>
    <comment ref="G84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85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86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  <comment ref="G87" authorId="0">
      <text>
        <r>
          <rPr>
            <b/>
            <sz val="9"/>
            <rFont val="Tahoma"/>
            <family val="2"/>
          </rPr>
          <t>Учебен курс в рамките на специализирани програми на ЕС и на фондации</t>
        </r>
      </text>
    </comment>
  </commentList>
</comments>
</file>

<file path=xl/sharedStrings.xml><?xml version="1.0" encoding="utf-8"?>
<sst xmlns="http://schemas.openxmlformats.org/spreadsheetml/2006/main" count="532" uniqueCount="386">
  <si>
    <t>СТОПАНСКА АКАДЕМИЯ „Д. А. ЦЕНОВ” - СВИЩОВ</t>
  </si>
  <si>
    <t>„Учебно-преподавателска дейност”</t>
  </si>
  <si>
    <t>А. Самооценка по емпирични критерии</t>
  </si>
  <si>
    <t>Учебна година</t>
  </si>
  <si>
    <t>Отчет натовареност</t>
  </si>
  <si>
    <t>Норматив натовареност</t>
  </si>
  <si>
    <t>Процентно изпълнение</t>
  </si>
  <si>
    <t>Атестационни точки</t>
  </si>
  <si>
    <t>а/ АЗ</t>
  </si>
  <si>
    <t>б/ ИАЗ</t>
  </si>
  <si>
    <t>Обща сума на точките за учебните години:</t>
  </si>
  <si>
    <t>Брой учебни години (3 год.):</t>
  </si>
  <si>
    <t>Дисциплина</t>
  </si>
  <si>
    <t>Краен бал</t>
  </si>
  <si>
    <t>Точки</t>
  </si>
  <si>
    <t>ime</t>
  </si>
  <si>
    <t>kod</t>
  </si>
  <si>
    <t>dekan</t>
  </si>
  <si>
    <t>Факултет "Финанси"</t>
  </si>
  <si>
    <t>ФФ</t>
  </si>
  <si>
    <t>Доц. д-р РУМЯНА ЛИЛОВА</t>
  </si>
  <si>
    <t>Факултет "Стопанска отчетност"</t>
  </si>
  <si>
    <t>ФСО</t>
  </si>
  <si>
    <t>Факултет "Мениджмънт и маркетинг"</t>
  </si>
  <si>
    <t>ФММ</t>
  </si>
  <si>
    <t>Факултет "Производствен и търговски бизнес"</t>
  </si>
  <si>
    <t>ФПТБ</t>
  </si>
  <si>
    <t xml:space="preserve">Колеж по икономика и управление </t>
  </si>
  <si>
    <t>КИУ</t>
  </si>
  <si>
    <t>Доц. д-р ЕМИЛ МИХАЙЛОВ</t>
  </si>
  <si>
    <t>id</t>
  </si>
  <si>
    <t>fakultet</t>
  </si>
  <si>
    <t>fakultet_kod</t>
  </si>
  <si>
    <t>rakovoditel</t>
  </si>
  <si>
    <t>КФК</t>
  </si>
  <si>
    <t>Финанси</t>
  </si>
  <si>
    <t>Доц. д-р СТЕФАН СИМЕОНОВ</t>
  </si>
  <si>
    <t>КЗСД</t>
  </si>
  <si>
    <t>Доц. д-р КОЛЬО КОЛЕВ</t>
  </si>
  <si>
    <t>КОТИ</t>
  </si>
  <si>
    <t>Проф. д-р ЛЮБЕН КИРЕВ</t>
  </si>
  <si>
    <t>КСО</t>
  </si>
  <si>
    <t>Стопанска отчетност</t>
  </si>
  <si>
    <t>Доц. д-р МИХАИЛ ДОЧЕВ</t>
  </si>
  <si>
    <t>КАСД</t>
  </si>
  <si>
    <t>Доц. д-р МИХАИЛ МИХАЙЛОВ</t>
  </si>
  <si>
    <t>КМС</t>
  </si>
  <si>
    <t>Доц. д-р ВЕЛИЧКО ПЕТРОВ</t>
  </si>
  <si>
    <t>КМЕ</t>
  </si>
  <si>
    <t>Мениджмънт и маркетинг</t>
  </si>
  <si>
    <t>Проф. д-р ик.н. КАМЕН КАМЕНОВ</t>
  </si>
  <si>
    <t>КМА</t>
  </si>
  <si>
    <t>Доц. д-р ТОДОР КРЪСТЕВИЧ</t>
  </si>
  <si>
    <t>КСП</t>
  </si>
  <si>
    <t>Доц. д-р НЕДЕЛЧО МИТЕВ</t>
  </si>
  <si>
    <t>КМИО</t>
  </si>
  <si>
    <t>Проф. д-р ик.н. АТАНАС ДАМЯНОВ</t>
  </si>
  <si>
    <t>КБИ</t>
  </si>
  <si>
    <t>Доц. д-р РУМЕН ВЪРБАНОВ</t>
  </si>
  <si>
    <t>КИБП</t>
  </si>
  <si>
    <t>Производствен и търговски бизнес</t>
  </si>
  <si>
    <t>Доц. д-р ПЕТЪР КЪНЕВ</t>
  </si>
  <si>
    <t>КАИ</t>
  </si>
  <si>
    <t>Доц. д-р ГЕОРГИ ГЕРГАНОВ</t>
  </si>
  <si>
    <t>КТБ</t>
  </si>
  <si>
    <t>Доц. д-р МАРИЯНА БОЖИНОВА</t>
  </si>
  <si>
    <t>Доц. д-р ИВАН ВЪРБАНОВ</t>
  </si>
  <si>
    <t>КИК</t>
  </si>
  <si>
    <t>Колеж по икономика и управление</t>
  </si>
  <si>
    <t>Гл. ас. д-р АНЕЛИЯ РАДУЛОВА</t>
  </si>
  <si>
    <t>КЧЕО</t>
  </si>
  <si>
    <t>Ст. преп. ВЕНЦИСЛАВ ДИКОВ</t>
  </si>
  <si>
    <t>КФКС</t>
  </si>
  <si>
    <t>Доц. д-р ХРИСТОФОР СТОЯНОВ</t>
  </si>
  <si>
    <t>ИНДИВИДУАЛЕН</t>
  </si>
  <si>
    <t>АТЕСТАЦИОНЕН ОТЧЕТ</t>
  </si>
  <si>
    <t>Област I</t>
  </si>
  <si>
    <t>Година на заповедта за атестиране:</t>
  </si>
  <si>
    <t>Таблица 3.1.1</t>
  </si>
  <si>
    <t>Изпълнение на аудитор­ната и извънаудиторната заетост</t>
  </si>
  <si>
    <t>(по отчет)</t>
  </si>
  <si>
    <t>Заповед N/дата</t>
  </si>
  <si>
    <t>Начален бал</t>
  </si>
  <si>
    <t>ОКС</t>
  </si>
  <si>
    <t>Б</t>
  </si>
  <si>
    <t>ПБ</t>
  </si>
  <si>
    <t>М</t>
  </si>
  <si>
    <t>M(Б)</t>
  </si>
  <si>
    <t>Общо стандартни страници за периода:</t>
  </si>
  <si>
    <r>
      <t xml:space="preserve">Продължителност на периода </t>
    </r>
    <r>
      <rPr>
        <b/>
        <sz val="8"/>
        <color indexed="8"/>
        <rFont val="Times New Roman"/>
        <family val="1"/>
      </rPr>
      <t>(3 или 5 години)</t>
    </r>
    <r>
      <rPr>
        <b/>
        <sz val="11"/>
        <color indexed="8"/>
        <rFont val="Times New Roman"/>
        <family val="1"/>
      </rPr>
      <t>:</t>
    </r>
  </si>
  <si>
    <t>Таблица № 3.2.1</t>
  </si>
  <si>
    <t xml:space="preserve">Стандартни страници (брой) </t>
  </si>
  <si>
    <t>Таблица 3.1.2b</t>
  </si>
  <si>
    <t>Корекция</t>
  </si>
  <si>
    <t>Общ брой точки:</t>
  </si>
  <si>
    <t>Използвани учебно-технически средства</t>
  </si>
  <si>
    <t>(описват се използваните учебно-технически средства от атестирания в лекции/семинарни занятия)</t>
  </si>
  <si>
    <r>
      <t xml:space="preserve">Стандартен </t>
    </r>
    <r>
      <rPr>
        <sz val="10"/>
        <color indexed="8"/>
        <rFont val="Times New Roman"/>
        <family val="1"/>
      </rPr>
      <t>– четене на лекции и водене на записки от студентите/следване на лекционния материал от асистента</t>
    </r>
  </si>
  <si>
    <r>
      <t xml:space="preserve">Иновативен – </t>
    </r>
    <r>
      <rPr>
        <sz val="10"/>
        <color indexed="8"/>
        <rFont val="Times New Roman"/>
        <family val="1"/>
      </rPr>
      <t xml:space="preserve">изнасяне на лекции/провеждане на семинарни занятия с използване на </t>
    </r>
    <r>
      <rPr>
        <b/>
        <i/>
        <sz val="10"/>
        <color indexed="8"/>
        <rFont val="Times New Roman"/>
        <family val="1"/>
      </rPr>
      <t>шрайбпроектор</t>
    </r>
  </si>
  <si>
    <r>
      <t xml:space="preserve">Иновативен – </t>
    </r>
    <r>
      <rPr>
        <sz val="10"/>
        <color indexed="8"/>
        <rFont val="Times New Roman"/>
        <family val="1"/>
      </rPr>
      <t xml:space="preserve">изнасяне на лекции/провеждане на семинарни занятия с използване на </t>
    </r>
    <r>
      <rPr>
        <b/>
        <i/>
        <sz val="10"/>
        <color indexed="8"/>
        <rFont val="Times New Roman"/>
        <family val="1"/>
      </rPr>
      <t>компютър</t>
    </r>
  </si>
  <si>
    <r>
      <t xml:space="preserve">Иновативен – </t>
    </r>
    <r>
      <rPr>
        <sz val="10"/>
        <color indexed="8"/>
        <rFont val="Times New Roman"/>
        <family val="1"/>
      </rPr>
      <t xml:space="preserve">изнасяне на лекции/провеждане на семинарни занятия с използване на </t>
    </r>
    <r>
      <rPr>
        <b/>
        <i/>
        <sz val="10"/>
        <color indexed="8"/>
        <rFont val="Times New Roman"/>
        <family val="1"/>
      </rPr>
      <t>мултимедийни системи (LCD-панел)</t>
    </r>
  </si>
  <si>
    <t>Брой ръководени дипломни работи</t>
  </si>
  <si>
    <t>Общо атестационни точки за периода:</t>
  </si>
  <si>
    <r>
      <t xml:space="preserve">Продължителност на периода </t>
    </r>
    <r>
      <rPr>
        <b/>
        <sz val="8"/>
        <color indexed="8"/>
        <rFont val="Times New Roman"/>
        <family val="1"/>
      </rPr>
      <t>(3 или по-малко години)</t>
    </r>
    <r>
      <rPr>
        <b/>
        <sz val="11"/>
        <color indexed="8"/>
        <rFont val="Times New Roman"/>
        <family val="1"/>
      </rPr>
      <t>:</t>
    </r>
  </si>
  <si>
    <t>Обективно няма възможност да води</t>
  </si>
  <si>
    <t>Брой ръководени</t>
  </si>
  <si>
    <t>дипломни работи</t>
  </si>
  <si>
    <t>над 10</t>
  </si>
  <si>
    <t>1-5</t>
  </si>
  <si>
    <t>6-10</t>
  </si>
  <si>
    <t>ККн</t>
  </si>
  <si>
    <t>Сума атестационни точки:</t>
  </si>
  <si>
    <t>На чужд език</t>
  </si>
  <si>
    <t>Катедра "Финанси и кредит"</t>
  </si>
  <si>
    <t>Катедра "Застраховане и социално дело"</t>
  </si>
  <si>
    <t>Катедра "Обща теория на икономиката"</t>
  </si>
  <si>
    <t>Катедра "Счетоводна отчетност"</t>
  </si>
  <si>
    <t>Катедра "Математика и статистика"</t>
  </si>
  <si>
    <t>Катедра "Мениджмънт"</t>
  </si>
  <si>
    <t>Катедра "Маркетинг"</t>
  </si>
  <si>
    <t>Катедра "Стратегическо планиране"</t>
  </si>
  <si>
    <t>Катедра "Международни икономически отношения"</t>
  </si>
  <si>
    <t>Катедра "Бизнес информатика"</t>
  </si>
  <si>
    <t>Катедра "Индустриален бизнес и предприемачество"</t>
  </si>
  <si>
    <t>Катедра "Аграрна икономика"</t>
  </si>
  <si>
    <t>Катедра "Икономика"</t>
  </si>
  <si>
    <t>Катедра "Чуждоезиково обучение"</t>
  </si>
  <si>
    <t>Катедра "Физическа култура и спорт"</t>
  </si>
  <si>
    <t>Таблица 3.3</t>
  </si>
  <si>
    <t>Брой рецензирани дипломни работи</t>
  </si>
  <si>
    <t>Учебен курс</t>
  </si>
  <si>
    <t>Общо теми</t>
  </si>
  <si>
    <t>Процент на обновяване</t>
  </si>
  <si>
    <t>Общ хорариум на курса</t>
  </si>
  <si>
    <t>Средно претеглен процент</t>
  </si>
  <si>
    <t>Сума(Σ):</t>
  </si>
  <si>
    <t>на обновяване</t>
  </si>
  <si>
    <t>Таблица 3.6.1</t>
  </si>
  <si>
    <t>Оценка</t>
  </si>
  <si>
    <t xml:space="preserve">Незадоволителна </t>
  </si>
  <si>
    <t>Задоволителна</t>
  </si>
  <si>
    <t>Добра</t>
  </si>
  <si>
    <t>Много добра</t>
  </si>
  <si>
    <t>СРЕДНО ЗА ОБЛАСТ I „УЧЕБНО-ПРЕПОДАВАТЕЛСКА ДЕЙНОСТ”</t>
  </si>
  <si>
    <t>Общ брой точки по критериите от област I:</t>
  </si>
  <si>
    <t>Брой оценени критерии:</t>
  </si>
  <si>
    <t>Средноаритметичен брой точки по област I:</t>
  </si>
  <si>
    <t>Коригиращ коефициент (с-но раздел VI на Методиката за атестиране):</t>
  </si>
  <si>
    <t>Коригиран брой точки по област I:</t>
  </si>
  <si>
    <t>Xабилитиран академичен състав</t>
  </si>
  <si>
    <t>Нехабилитиран академичен състав</t>
  </si>
  <si>
    <t>Нехабилитиран академичен състав с длъжност “преподавател” и “ст. преподавател”</t>
  </si>
  <si>
    <t>„Научно-изследователска дейност”</t>
  </si>
  <si>
    <t>Брой</t>
  </si>
  <si>
    <t>Сумарен бал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</si>
  <si>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в страната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</si>
  <si>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в чужбина</t>
    </r>
  </si>
  <si>
    <t>Област II</t>
  </si>
  <si>
    <t>Сума:</t>
  </si>
  <si>
    <t>Общо точки по показател 2.2.1:</t>
  </si>
  <si>
    <t>Вътрешно-академичен</t>
  </si>
  <si>
    <t>Национална програма</t>
  </si>
  <si>
    <t>Международна програма</t>
  </si>
  <si>
    <t>Общо точки по показател 2.2.2:</t>
  </si>
  <si>
    <t>Брой участия</t>
  </si>
  <si>
    <t>Общо точки по критерий 3:</t>
  </si>
  <si>
    <t>Придобито звание/степен</t>
  </si>
  <si>
    <t>Дата</t>
  </si>
  <si>
    <t>Общо точки по показател 2.4.1:</t>
  </si>
  <si>
    <t>Професор</t>
  </si>
  <si>
    <t>Доцент</t>
  </si>
  <si>
    <t>Старши асистент</t>
  </si>
  <si>
    <t>Доктор</t>
  </si>
  <si>
    <t>Доктор на науките</t>
  </si>
  <si>
    <t>Старши преподавател</t>
  </si>
  <si>
    <t xml:space="preserve">Главен асистент </t>
  </si>
  <si>
    <t>Вид научно ръководство</t>
  </si>
  <si>
    <t>Общо точки по показател 2.4.2:</t>
  </si>
  <si>
    <t>Ръководство на докторант с проведена защита на дисертация</t>
  </si>
  <si>
    <t>Ръководство на докторант, отписан с право на защита</t>
  </si>
  <si>
    <t>Ръководство на докторант, отписан без право на защита</t>
  </si>
  <si>
    <t>СРЕДНО ЗА ОБЛАСТ II „НАУЧНО-ИЗСЛЕДОВАТЕЛСКА ДЕЙНОСТ”</t>
  </si>
  <si>
    <t>Общ брой точки по критериите от област II:</t>
  </si>
  <si>
    <t>Средноаритметичен брой точки по област II:</t>
  </si>
  <si>
    <t>Xабилитиран академичен състав с научна степен  “доктор”/“доктор на икономическите науки”</t>
  </si>
  <si>
    <t>Нехабилитиран академичен състав с научна степен “доктор”</t>
  </si>
  <si>
    <t>Нехабилитирани академичен състав без научна степен с трудов стаж в СА от единадесет до петнадесет години</t>
  </si>
  <si>
    <t>Нехабилитирани академичен състав без научна степен с трудов стаж в СА над петнадесет години</t>
  </si>
  <si>
    <t>Област III</t>
  </si>
  <si>
    <t>Ректор</t>
  </si>
  <si>
    <t>Ръководител на катедра</t>
  </si>
  <si>
    <t>Председател на ОС на СА „Д. А. Ценов”</t>
  </si>
  <si>
    <t>Член на Академичен съвет</t>
  </si>
  <si>
    <t>Ръководител на магистърска програма</t>
  </si>
  <si>
    <t>Научен секретар на катедра</t>
  </si>
  <si>
    <t>Секретар УМОА на магистърска програма</t>
  </si>
  <si>
    <t>Член на Факултетен съвет</t>
  </si>
  <si>
    <t>Член на Факултетна атестационна комисия</t>
  </si>
  <si>
    <t>Общ брой точки по критериите от област III:</t>
  </si>
  <si>
    <t>КАЛКУЛАЦИЯ</t>
  </si>
  <si>
    <t>ТОЧКИ</t>
  </si>
  <si>
    <t>Признат  брой точки по област I:</t>
  </si>
  <si>
    <t>Признат  брой точки по област II:</t>
  </si>
  <si>
    <t>Признат  брой точки по област III:</t>
  </si>
  <si>
    <t>Съставил:</t>
  </si>
  <si>
    <t>Свищов</t>
  </si>
  <si>
    <t>ОТ</t>
  </si>
  <si>
    <t>Звание, степен, име презиме и фамилия:</t>
  </si>
  <si>
    <t>Продължителност на атестационния период:</t>
  </si>
  <si>
    <t xml:space="preserve">Обективна възможност на атестирания за ръководство на докторанти: </t>
  </si>
  <si>
    <t>Факултет:</t>
  </si>
  <si>
    <t>Катедра:</t>
  </si>
  <si>
    <t>Нехабилитирани академичен състав без научна степен с трудов стаж в СА до три години</t>
  </si>
  <si>
    <t>Нехабилитирани академичен състав без научна степен с трудов стаж в СА от три до пет години</t>
  </si>
  <si>
    <t>Нехабилитирани академичен състав без научна степен с трудов стаж в СА от шест до десет години</t>
  </si>
  <si>
    <t>Групa академичен състав към която принадлежи атестирания:</t>
  </si>
  <si>
    <t>Преработено по време на атестационния период</t>
  </si>
  <si>
    <t>Коригиращ коефициент</t>
  </si>
  <si>
    <t>……….……………………………………………………..</t>
  </si>
  <si>
    <t>Други (съгласно приложен списък):</t>
  </si>
  <si>
    <t>Дисциплина с авторско електронно учебно помагало</t>
  </si>
  <si>
    <t>Дисциплина с авторско учебно помагало (хартиен носител)</t>
  </si>
  <si>
    <t>Б. Оценка по неемпирични критерии</t>
  </si>
  <si>
    <t>Участие в научни форуми в чужбина</t>
  </si>
  <si>
    <t>По програма на ЕС</t>
  </si>
  <si>
    <t>Точки по показател 1.4:</t>
  </si>
  <si>
    <t>Проекти по национални програми</t>
  </si>
  <si>
    <t>Коригиращ
коефициент</t>
  </si>
  <si>
    <t>Монографии</t>
  </si>
  <si>
    <t>Студии</t>
  </si>
  <si>
    <t>Статии</t>
  </si>
  <si>
    <t>Научни доклади и рецензии</t>
  </si>
  <si>
    <t>Вид на научно-изследователския проект</t>
  </si>
  <si>
    <t>Брой точки за показател 1.2:</t>
  </si>
  <si>
    <t>Общо за 1.3.2:</t>
  </si>
  <si>
    <t>Стандартни страници
(брой)</t>
  </si>
  <si>
    <r>
      <t>Корекционен коефициент (за нехабилитиран академичен състав (КК</t>
    </r>
    <r>
      <rPr>
        <b/>
        <vertAlign val="subscript"/>
        <sz val="9"/>
        <color indexed="8"/>
        <rFont val="Times New Roman"/>
        <family val="1"/>
      </rPr>
      <t>нх</t>
    </r>
    <r>
      <rPr>
        <b/>
        <sz val="9"/>
        <color indexed="8"/>
        <rFont val="Times New Roman"/>
        <family val="1"/>
      </rPr>
      <t xml:space="preserve">=1,5), за хабилитиран академичен състав (ККх=1) : </t>
    </r>
  </si>
  <si>
    <t>Няма придобито звание/степен през периода</t>
  </si>
  <si>
    <t>Лектор/Титуляр</t>
  </si>
  <si>
    <t>Обновени/ нови теми</t>
  </si>
  <si>
    <r>
      <t xml:space="preserve">Средногодишен брой стандартни страници </t>
    </r>
    <r>
      <rPr>
        <b/>
        <sz val="8"/>
        <color indexed="8"/>
        <rFont val="Times New Roman"/>
        <family val="1"/>
      </rPr>
      <t>(общо стр. / прод. на периода)</t>
    </r>
    <r>
      <rPr>
        <b/>
        <sz val="11"/>
        <color indexed="8"/>
        <rFont val="Times New Roman"/>
        <family val="1"/>
      </rPr>
      <t>:</t>
    </r>
  </si>
  <si>
    <r>
      <t>Средноаритметичен брой точки за 3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0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1.3.1 + точки от п-л 1.3.2)/2]</t>
    </r>
    <r>
      <rPr>
        <b/>
        <sz val="10"/>
        <color indexed="8"/>
        <rFont val="Times New Roman"/>
        <family val="1"/>
      </rPr>
      <t>:</t>
    </r>
  </si>
  <si>
    <r>
      <t>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>:</t>
    </r>
  </si>
  <si>
    <r>
      <t>Средноаритметичен брой точки за 1</t>
    </r>
    <r>
      <rPr>
        <b/>
        <vertAlign val="superscript"/>
        <sz val="11"/>
        <color indexed="8"/>
        <rFont val="Times New Roman"/>
        <family val="1"/>
      </rPr>
      <t>-ви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0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1.1.1 + точки от п-л 1.1.2)/2]</t>
    </r>
    <r>
      <rPr>
        <b/>
        <sz val="10"/>
        <color indexed="8"/>
        <rFont val="Times New Roman"/>
        <family val="1"/>
      </rPr>
      <t>:</t>
    </r>
  </si>
  <si>
    <t>Среден брой точки за учебна година (ред а + ред б)/2:</t>
  </si>
  <si>
    <r>
      <t>Брой точки за 4</t>
    </r>
    <r>
      <rPr>
        <b/>
        <vertAlign val="superscript"/>
        <sz val="11"/>
        <color indexed="8"/>
        <rFont val="Times New Roman"/>
        <family val="1"/>
      </rPr>
      <t>-</t>
    </r>
    <r>
      <rPr>
        <b/>
        <vertAlign val="superscript"/>
        <sz val="11"/>
        <color indexed="8"/>
        <rFont val="Times New Roman"/>
        <family val="1"/>
      </rPr>
      <t>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12"/>
        <color indexed="8"/>
        <rFont val="Times New Roman"/>
        <family val="1"/>
      </rPr>
      <t>:</t>
    </r>
  </si>
  <si>
    <r>
      <t>2</t>
    </r>
    <r>
      <rPr>
        <b/>
        <vertAlign val="superscript"/>
        <sz val="14"/>
        <rFont val="Times New Roman"/>
        <family val="1"/>
      </rPr>
      <t>-ри</t>
    </r>
    <r>
      <rPr>
        <b/>
        <sz val="14"/>
        <rFont val="Times New Roman"/>
        <family val="1"/>
      </rPr>
      <t xml:space="preserve"> Критерий:   </t>
    </r>
  </si>
  <si>
    <t>„Обновяване на учебно съдържание в преподаваните учебни курсове”</t>
  </si>
  <si>
    <r>
      <t>1</t>
    </r>
    <r>
      <rPr>
        <b/>
        <vertAlign val="superscript"/>
        <sz val="14"/>
        <rFont val="Times New Roman"/>
        <family val="1"/>
      </rPr>
      <t>-ви</t>
    </r>
    <r>
      <rPr>
        <b/>
        <sz val="14"/>
        <rFont val="Times New Roman"/>
        <family val="1"/>
      </rPr>
      <t xml:space="preserve"> Критерий:</t>
    </r>
  </si>
  <si>
    <t xml:space="preserve"> „Процентно изпълнение на нормативите за учебна заетост”</t>
  </si>
  <si>
    <r>
      <t>3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</t>
    </r>
  </si>
  <si>
    <t xml:space="preserve"> "Ниво на осигуреност на титуляра/асистента с авторова учебна литература, написана индивидуално или в съавторство"</t>
  </si>
  <si>
    <r>
      <t>4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 </t>
    </r>
  </si>
  <si>
    <t>„Използване на учебно-технически средства в учебно-преподавателската работа”</t>
  </si>
  <si>
    <t>Показател 1.1.2:</t>
  </si>
  <si>
    <t>Показател 1.1.1:</t>
  </si>
  <si>
    <t xml:space="preserve"> Показател 1.3.1:</t>
  </si>
  <si>
    <t>Показател 1.3.2:</t>
  </si>
  <si>
    <r>
      <t>5</t>
    </r>
    <r>
      <rPr>
        <b/>
        <vertAlign val="superscript"/>
        <sz val="14"/>
        <rFont val="Times New Roman"/>
        <family val="1"/>
      </rPr>
      <t xml:space="preserve">-ти </t>
    </r>
    <r>
      <rPr>
        <b/>
        <sz val="14"/>
        <rFont val="Times New Roman"/>
        <family val="1"/>
      </rPr>
      <t>Критерий:</t>
    </r>
  </si>
  <si>
    <r>
      <t>6</t>
    </r>
    <r>
      <rPr>
        <b/>
        <vertAlign val="superscript"/>
        <sz val="14"/>
        <rFont val="Times New Roman"/>
        <family val="1"/>
      </rPr>
      <t xml:space="preserve">-ти </t>
    </r>
    <r>
      <rPr>
        <b/>
        <sz val="14"/>
        <rFont val="Times New Roman"/>
        <family val="1"/>
      </rPr>
      <t xml:space="preserve">Критерий: </t>
    </r>
  </si>
  <si>
    <r>
      <t>Брой точки за 6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критерий:</t>
    </r>
  </si>
  <si>
    <r>
      <t xml:space="preserve"> 7</t>
    </r>
    <r>
      <rPr>
        <b/>
        <vertAlign val="superscript"/>
        <sz val="14"/>
        <rFont val="Times New Roman"/>
        <family val="1"/>
      </rPr>
      <t>-ми</t>
    </r>
    <r>
      <rPr>
        <b/>
        <sz val="14"/>
        <rFont val="Times New Roman"/>
        <family val="1"/>
      </rPr>
      <t xml:space="preserve"> Критерий: </t>
    </r>
  </si>
  <si>
    <t>Протокол №/дата от Решението на Катедрения съвет</t>
  </si>
  <si>
    <r>
      <t xml:space="preserve"> 8</t>
    </r>
    <r>
      <rPr>
        <b/>
        <vertAlign val="superscript"/>
        <sz val="14"/>
        <rFont val="Times New Roman"/>
        <family val="1"/>
      </rPr>
      <t xml:space="preserve">-ми </t>
    </r>
    <r>
      <rPr>
        <b/>
        <sz val="14"/>
        <rFont val="Times New Roman"/>
        <family val="1"/>
      </rPr>
      <t xml:space="preserve">Критерий: </t>
    </r>
  </si>
  <si>
    <t>„Научни публикации”</t>
  </si>
  <si>
    <r>
      <t xml:space="preserve"> 1</t>
    </r>
    <r>
      <rPr>
        <b/>
        <vertAlign val="superscript"/>
        <sz val="14"/>
        <rFont val="Times New Roman"/>
        <family val="1"/>
      </rPr>
      <t>-ви</t>
    </r>
    <r>
      <rPr>
        <b/>
        <sz val="14"/>
        <rFont val="Times New Roman"/>
        <family val="1"/>
      </rPr>
      <t xml:space="preserve"> Критерий: </t>
    </r>
  </si>
  <si>
    <t>„Научно-изследователски проекти”</t>
  </si>
  <si>
    <r>
      <t xml:space="preserve"> 2</t>
    </r>
    <r>
      <rPr>
        <b/>
        <vertAlign val="superscript"/>
        <sz val="14"/>
        <rFont val="Times New Roman"/>
        <family val="1"/>
      </rPr>
      <t>-ри</t>
    </r>
    <r>
      <rPr>
        <b/>
        <sz val="14"/>
        <rFont val="Times New Roman"/>
        <family val="1"/>
      </rPr>
      <t xml:space="preserve"> Критерий: </t>
    </r>
  </si>
  <si>
    <t>Показател 2.2.1:</t>
  </si>
  <si>
    <t>Показател 2.2.2:</t>
  </si>
  <si>
    <r>
      <t>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 2.2.1 + точки от п-л  2.2.2)]</t>
    </r>
    <r>
      <rPr>
        <b/>
        <sz val="8"/>
        <color indexed="8"/>
        <rFont val="Times New Roman"/>
        <family val="1"/>
      </rPr>
      <t>:</t>
    </r>
  </si>
  <si>
    <t>„Постижения в научното развитие”</t>
  </si>
  <si>
    <r>
      <t xml:space="preserve"> 4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 </t>
    </r>
  </si>
  <si>
    <t>„Индивидуално развитие”</t>
  </si>
  <si>
    <t>Показател 2.4.1:</t>
  </si>
  <si>
    <t>„Научно ръководство на докторанти”</t>
  </si>
  <si>
    <t>Показател 2.4.2:</t>
  </si>
  <si>
    <r>
      <t>Средноаритметичен брой точки за 4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</t>
    </r>
    <r>
      <rPr>
        <b/>
        <sz val="8"/>
        <color indexed="8"/>
        <rFont val="Times New Roman"/>
        <family val="1"/>
      </rPr>
      <t xml:space="preserve"> </t>
    </r>
    <r>
      <rPr>
        <b/>
        <sz val="7"/>
        <color indexed="8"/>
        <rFont val="Times New Roman"/>
        <family val="1"/>
      </rPr>
      <t>[(точки от п-л  2.4.1 + точки от п-л 2.4.2)/2]</t>
    </r>
    <r>
      <rPr>
        <b/>
        <sz val="8"/>
        <color indexed="8"/>
        <rFont val="Times New Roman"/>
        <family val="1"/>
      </rPr>
      <t>:</t>
    </r>
  </si>
  <si>
    <t>ОБЛАСТ</t>
  </si>
  <si>
    <t>ОЦЕНКА В СЪОТВЕТНАТА ОБЛАСТ</t>
  </si>
  <si>
    <t>„Обща индивидуална атестационна оценка”</t>
  </si>
  <si>
    <t>Обща индивидуална атестационна оценка в бални точки:</t>
  </si>
  <si>
    <r>
      <t xml:space="preserve">„Преобладаващ </t>
    </r>
    <r>
      <rPr>
        <b/>
        <i/>
        <sz val="12"/>
        <color indexed="8"/>
        <rFont val="Times New Roman"/>
        <family val="1"/>
      </rPr>
      <t xml:space="preserve">метод </t>
    </r>
    <r>
      <rPr>
        <b/>
        <sz val="12"/>
        <color indexed="8"/>
        <rFont val="Times New Roman"/>
        <family val="1"/>
      </rPr>
      <t>за провеждане на лекции/семинарни занятия”</t>
    </r>
  </si>
  <si>
    <r>
      <t xml:space="preserve">„Степен на </t>
    </r>
    <r>
      <rPr>
        <b/>
        <i/>
        <sz val="12"/>
        <color indexed="8"/>
        <rFont val="Times New Roman"/>
        <family val="1"/>
      </rPr>
      <t>обновяване</t>
    </r>
    <r>
      <rPr>
        <b/>
        <sz val="12"/>
        <color indexed="8"/>
        <rFont val="Times New Roman"/>
        <family val="1"/>
      </rPr>
      <t xml:space="preserve"> на учебните курсове”</t>
    </r>
  </si>
  <si>
    <t>Брой точки за показател 1.3.1:</t>
  </si>
  <si>
    <r>
      <t xml:space="preserve">Среден брой точки по показател 1.1.1 </t>
    </r>
    <r>
      <rPr>
        <b/>
        <sz val="8"/>
        <color indexed="8"/>
        <rFont val="Times New Roman"/>
        <family val="1"/>
      </rPr>
      <t>(обща сума/бр. год.)</t>
    </r>
    <r>
      <rPr>
        <b/>
        <sz val="11"/>
        <color indexed="8"/>
        <rFont val="Times New Roman"/>
        <family val="1"/>
      </rPr>
      <t>:</t>
    </r>
  </si>
  <si>
    <r>
      <t>Брой точки за 5</t>
    </r>
    <r>
      <rPr>
        <b/>
        <vertAlign val="superscript"/>
        <sz val="11"/>
        <color indexed="8"/>
        <rFont val="Times New Roman"/>
        <family val="1"/>
      </rPr>
      <t>-ти</t>
    </r>
    <r>
      <rPr>
        <b/>
        <sz val="11"/>
        <color indexed="8"/>
        <rFont val="Times New Roman"/>
        <family val="1"/>
      </rPr>
      <t xml:space="preserve"> Критерий:</t>
    </r>
  </si>
  <si>
    <r>
      <t>Общо точки за 1</t>
    </r>
    <r>
      <rPr>
        <b/>
        <vertAlign val="superscript"/>
        <sz val="10"/>
        <color indexed="8"/>
        <rFont val="Times New Roman"/>
        <family val="1"/>
      </rPr>
      <t>-ви</t>
    </r>
    <r>
      <rPr>
        <b/>
        <sz val="10"/>
        <color indexed="8"/>
        <rFont val="Times New Roman"/>
        <family val="1"/>
      </rPr>
      <t xml:space="preserve"> Критерий:</t>
    </r>
  </si>
  <si>
    <r>
      <t>Корекционен коефициент (за нехабилитиран академичен състав (КК</t>
    </r>
    <r>
      <rPr>
        <b/>
        <vertAlign val="subscript"/>
        <sz val="9"/>
        <color indexed="8"/>
        <rFont val="Times New Roman"/>
        <family val="1"/>
      </rPr>
      <t>нх</t>
    </r>
    <r>
      <rPr>
        <b/>
        <sz val="9"/>
        <color indexed="8"/>
        <rFont val="Times New Roman"/>
        <family val="1"/>
      </rPr>
      <t xml:space="preserve">=1,5), за хабилитиран академичен състав (ККх=1): </t>
    </r>
  </si>
  <si>
    <t>Общо сумарен бал за 1-ви Критерий:</t>
  </si>
  <si>
    <t>Диплом/Заповед - №/дата</t>
  </si>
  <si>
    <t>Показател 1.2.1:</t>
  </si>
  <si>
    <r>
      <t>„</t>
    </r>
    <r>
      <rPr>
        <b/>
        <i/>
        <sz val="12"/>
        <color indexed="8"/>
        <rFont val="Times New Roman"/>
        <family val="1"/>
      </rPr>
      <t>Брой учебни дисциплини</t>
    </r>
    <r>
      <rPr>
        <b/>
        <sz val="12"/>
        <color indexed="8"/>
        <rFont val="Times New Roman"/>
        <family val="1"/>
      </rPr>
      <t xml:space="preserve"> водени като лектор (титуляр или сътитуляр), ръководител на семинарни занятия, консултант и/или преподавател пред студенти от ОКС „Професионален бакалавър”, „Бакалавър” и „Магистър” на средногодишна база, за последните </t>
    </r>
    <r>
      <rPr>
        <b/>
        <i/>
        <sz val="12"/>
        <color indexed="8"/>
        <rFont val="Times New Roman"/>
        <family val="1"/>
      </rPr>
      <t>три академични учебни години</t>
    </r>
    <r>
      <rPr>
        <b/>
        <sz val="12"/>
        <color indexed="8"/>
        <rFont val="Times New Roman"/>
        <family val="1"/>
      </rPr>
      <t>"</t>
    </r>
  </si>
  <si>
    <r>
      <t>„</t>
    </r>
    <r>
      <rPr>
        <b/>
        <i/>
        <sz val="12"/>
        <color indexed="8"/>
        <rFont val="Times New Roman"/>
        <family val="1"/>
      </rPr>
      <t>Процентно изпълнение</t>
    </r>
    <r>
      <rPr>
        <b/>
        <sz val="12"/>
        <color indexed="8"/>
        <rFont val="Times New Roman"/>
        <family val="1"/>
      </rPr>
      <t xml:space="preserve"> на нормативите за аудиторна и извънаудиторна заетост, </t>
    </r>
    <r>
      <rPr>
        <b/>
        <i/>
        <sz val="12"/>
        <color indexed="8"/>
        <rFont val="Times New Roman"/>
        <family val="1"/>
      </rPr>
      <t>на средногодишна база</t>
    </r>
    <r>
      <rPr>
        <b/>
        <sz val="12"/>
        <color indexed="8"/>
        <rFont val="Times New Roman"/>
        <family val="1"/>
      </rPr>
      <t xml:space="preserve">, за последните </t>
    </r>
    <r>
      <rPr>
        <b/>
        <i/>
        <sz val="12"/>
        <color indexed="8"/>
        <rFont val="Times New Roman"/>
        <family val="1"/>
      </rPr>
      <t>три академични учебни години</t>
    </r>
    <r>
      <rPr>
        <b/>
        <sz val="12"/>
        <color indexed="8"/>
        <rFont val="Times New Roman"/>
        <family val="1"/>
      </rPr>
      <t>”</t>
    </r>
  </si>
  <si>
    <t>Участие с по-малко от две коли</t>
  </si>
  <si>
    <t>„Оценка на учебно-преподавателската работа от катедрата”</t>
  </si>
  <si>
    <t>Показател 1.6.1:</t>
  </si>
  <si>
    <t>Показател 1.5.1:</t>
  </si>
  <si>
    <t>Показател 1.4.1:</t>
  </si>
  <si>
    <t>Показател 1.7.1:</t>
  </si>
  <si>
    <t>„Оценка от катедрени обсъждания на учебно-преподавателската работа”</t>
  </si>
  <si>
    <t>„Оценка от проучвания на удовлетвореността на студентите от качеството на обучението”</t>
  </si>
  <si>
    <t>Показател 1.8.1:</t>
  </si>
  <si>
    <t>„Оценка от проучвания на удовлетвореността на студентите от качеството на обучение”</t>
  </si>
  <si>
    <t>Показател 2.1.1:</t>
  </si>
  <si>
    <t>Измерител</t>
  </si>
  <si>
    <r>
      <t>„</t>
    </r>
    <r>
      <rPr>
        <b/>
        <i/>
        <sz val="12"/>
        <color indexed="8"/>
        <rFont val="Times New Roman"/>
        <family val="1"/>
      </rPr>
      <t>Разработени и одобрени</t>
    </r>
    <r>
      <rPr>
        <b/>
        <sz val="12"/>
        <color indexed="8"/>
        <rFont val="Times New Roman"/>
        <family val="1"/>
      </rPr>
      <t xml:space="preserve"> научно-изследователски проекти”</t>
    </r>
  </si>
  <si>
    <r>
      <t xml:space="preserve">„Разработени, но неодобрени научно-изследователски проекти или проекти в </t>
    </r>
    <r>
      <rPr>
        <b/>
        <i/>
        <sz val="12"/>
        <color indexed="8"/>
        <rFont val="Times New Roman"/>
        <family val="1"/>
      </rPr>
      <t>процедура на одобряване</t>
    </r>
    <r>
      <rPr>
        <b/>
        <sz val="12"/>
        <color indexed="8"/>
        <rFont val="Times New Roman"/>
        <family val="1"/>
      </rPr>
      <t>”</t>
    </r>
  </si>
  <si>
    <t>Проекти по международни програми</t>
  </si>
  <si>
    <t>Вътрешноакадемични проекти</t>
  </si>
  <si>
    <t>Забележка:</t>
  </si>
  <si>
    <t>Учебник/учебно пособие/монография/учебни помагала</t>
  </si>
  <si>
    <r>
      <t>„</t>
    </r>
    <r>
      <rPr>
        <b/>
        <i/>
        <sz val="12"/>
        <color indexed="8"/>
        <rFont val="Times New Roman"/>
        <family val="1"/>
      </rPr>
      <t>Осигуреност</t>
    </r>
    <r>
      <rPr>
        <b/>
        <sz val="12"/>
        <color indexed="8"/>
        <rFont val="Times New Roman"/>
        <family val="1"/>
      </rPr>
      <t xml:space="preserve"> на дисциплините с авторски учебници, учебни пособия, монографии и учебни помагала”</t>
    </r>
  </si>
  <si>
    <t>Дисциплина с авторски учебник/учебно пособие/монография (хартиен носител)</t>
  </si>
  <si>
    <t xml:space="preserve"> „Участие в научни форуми”</t>
  </si>
  <si>
    <r>
      <t xml:space="preserve"> 3</t>
    </r>
    <r>
      <rPr>
        <b/>
        <vertAlign val="superscript"/>
        <sz val="14"/>
        <rFont val="Times New Roman"/>
        <family val="1"/>
      </rPr>
      <t>-ти</t>
    </r>
    <r>
      <rPr>
        <b/>
        <sz val="14"/>
        <rFont val="Times New Roman"/>
        <family val="1"/>
      </rPr>
      <t xml:space="preserve"> Критерий:</t>
    </r>
  </si>
  <si>
    <t>Показател 2.3.1:</t>
  </si>
  <si>
    <r>
      <t>„</t>
    </r>
    <r>
      <rPr>
        <b/>
        <i/>
        <sz val="12"/>
        <color indexed="8"/>
        <rFont val="Times New Roman"/>
        <family val="1"/>
      </rPr>
      <t>Участие</t>
    </r>
    <r>
      <rPr>
        <b/>
        <sz val="12"/>
        <color indexed="8"/>
        <rFont val="Times New Roman"/>
        <family val="1"/>
      </rPr>
      <t xml:space="preserve"> в научни форуми”</t>
    </r>
  </si>
  <si>
    <t>Участие с по-малко от една кола</t>
  </si>
  <si>
    <t xml:space="preserve"> „Ръководени дипломни работи в ОКС "Магистър”</t>
  </si>
  <si>
    <t>„Ръководени дипломни работи в ОКС "Магистър”</t>
  </si>
  <si>
    <t>„Рецензирани дипломни работи в ОКС "Магистър”</t>
  </si>
  <si>
    <r>
      <t xml:space="preserve">За удостоверяване на посочените данни по показатели 2.2.1 и 2.2.2 към индивидуалния атестационен отчет се прилага списък с наименованията и означенията на проектите (идентификационни кодове). Списъкът се оформя като </t>
    </r>
    <r>
      <rPr>
        <b/>
        <sz val="11"/>
        <color indexed="8"/>
        <rFont val="Calibri"/>
        <family val="2"/>
      </rPr>
      <t>Приложение № 2.2 "Научно-изследователски проекти"</t>
    </r>
    <r>
      <rPr>
        <sz val="11"/>
        <color theme="1"/>
        <rFont val="Calibri"/>
        <family val="2"/>
      </rPr>
      <t xml:space="preserve">. </t>
    </r>
  </si>
  <si>
    <t>Административно-управленска и/или представителна позиция/длъжност</t>
  </si>
  <si>
    <t>Получен/признат  брой точки по област III (с-но раздел II на Методиката за атестиране):</t>
  </si>
  <si>
    <t>Получен/признат  брой точки по област II (с-но раздел II на Методиката за атестиране):</t>
  </si>
  <si>
    <r>
      <t>Получен/признат брой точки за 3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Критерий:</t>
    </r>
  </si>
  <si>
    <r>
      <t>Получен/признат брой точки за 2</t>
    </r>
    <r>
      <rPr>
        <b/>
        <vertAlign val="superscript"/>
        <sz val="11"/>
        <color indexed="8"/>
        <rFont val="Times New Roman"/>
        <family val="1"/>
      </rPr>
      <t>-ри</t>
    </r>
    <r>
      <rPr>
        <b/>
        <sz val="11"/>
        <color indexed="8"/>
        <rFont val="Times New Roman"/>
        <family val="1"/>
      </rPr>
      <t xml:space="preserve"> Критерий:</t>
    </r>
  </si>
  <si>
    <t>Получен/признат  брой точки по област I (с-но раздел II на Методиката за атестиране):</t>
  </si>
  <si>
    <t>Получен/признат брой точки за показател 1.3.2:</t>
  </si>
  <si>
    <t>Получен/признат брой точки за показател 1.1.2:</t>
  </si>
  <si>
    <t>Рък. сем. занятия/ консултант</t>
  </si>
  <si>
    <r>
      <t>"</t>
    </r>
    <r>
      <rPr>
        <b/>
        <i/>
        <sz val="12"/>
        <color indexed="8"/>
        <rFont val="Times New Roman"/>
        <family val="1"/>
      </rPr>
      <t>Публикувани</t>
    </r>
    <r>
      <rPr>
        <b/>
        <sz val="12"/>
        <color indexed="8"/>
        <rFont val="Times New Roman"/>
        <family val="1"/>
      </rPr>
      <t xml:space="preserve">, индивидуално или в съавторство, учебници, учебни пособия, монографии, използвани в учебния процес, и учебни помагала </t>
    </r>
    <r>
      <rPr>
        <b/>
        <i/>
        <sz val="12"/>
        <color indexed="8"/>
        <rFont val="Times New Roman"/>
        <family val="1"/>
      </rPr>
      <t>в стандартни страници</t>
    </r>
    <r>
      <rPr>
        <b/>
        <sz val="12"/>
        <color indexed="8"/>
        <rFont val="Times New Roman"/>
        <family val="1"/>
      </rPr>
      <t>”.</t>
    </r>
  </si>
  <si>
    <r>
      <t xml:space="preserve">При посочване на повече от 5 издадени учебници, учебни пособия, монографии и учебни помагала за периода се прилага списък, оформен като </t>
    </r>
    <r>
      <rPr>
        <b/>
        <sz val="11"/>
        <color indexed="8"/>
        <rFont val="Calibri"/>
        <family val="2"/>
      </rPr>
      <t>Приложение № 1.2 "Публикувани учебници, учебни пособия, монографии, учебни помагала", като в ред "Други" се посочва общият брой страници.</t>
    </r>
  </si>
  <si>
    <t>В трите таблици при този показател се посочват само дисциплините, по които атестираният е лектор/титуляр и/или ръководител на семинарни занятия/консултант и които е осигурил с авторски издания.</t>
  </si>
  <si>
    <t>Участие в научни форуми в България</t>
  </si>
  <si>
    <r>
      <t xml:space="preserve">За удостоверяване на посочените данни по показател 2.3.1 към индивидуалния атестационен отчет се прилага списък с наименованията на научните форуми, дати и места на провеждане. Списъкът се оформя като </t>
    </r>
    <r>
      <rPr>
        <b/>
        <sz val="11"/>
        <color indexed="8"/>
        <rFont val="Calibri"/>
        <family val="2"/>
      </rPr>
      <t>Приложение № 2.3 "Участие в научни форуми"</t>
    </r>
    <r>
      <rPr>
        <sz val="11"/>
        <color theme="1"/>
        <rFont val="Calibri"/>
        <family val="2"/>
      </rPr>
      <t xml:space="preserve">. </t>
    </r>
  </si>
  <si>
    <r>
      <t xml:space="preserve">За удостоверяване на посочените данни по показател 2.4.2 към индивидуалния атестационен отчет се прилага списък на ръководените докторанти през атестационния период. Списъкът се оформя като </t>
    </r>
    <r>
      <rPr>
        <b/>
        <sz val="11"/>
        <color indexed="8"/>
        <rFont val="Calibri"/>
        <family val="2"/>
      </rPr>
      <t>Приложение № 4.1 "Ръководство на докторанти"</t>
    </r>
    <r>
      <rPr>
        <sz val="11"/>
        <color theme="1"/>
        <rFont val="Calibri"/>
        <family val="2"/>
      </rPr>
      <t xml:space="preserve">. </t>
    </r>
  </si>
  <si>
    <r>
      <t>Важно!</t>
    </r>
    <r>
      <rPr>
        <b/>
        <sz val="12"/>
        <color indexed="8"/>
        <rFont val="Times New Roman"/>
        <family val="1"/>
      </rPr>
      <t xml:space="preserve"> Представената в индивидуалния атестационен отчет информация се подава от самия атестиран преподавател и той носи отговорност за верността на посочените данни!</t>
    </r>
  </si>
  <si>
    <t>Обективна невъзможност</t>
  </si>
  <si>
    <t>Доц. д-р АТАНАС АТАНАСОВ</t>
  </si>
  <si>
    <t>Доц. д-р ВИОЛЕТА КРАЕВА</t>
  </si>
  <si>
    <t>Доц. д-р АНЕТА ДЕНЕВА</t>
  </si>
  <si>
    <t>Катедра "Контрол и анализ на стопанската дейност"</t>
  </si>
  <si>
    <t>Катедра "Физическо възпитание и спорт"</t>
  </si>
  <si>
    <t>1. При водене на учебни курсове като сътитуляр, се попълват данните, които се отнасят само за атестирания преподавател (колонки "Обновени теми", "Общо теми", "Общ хорариум").</t>
  </si>
  <si>
    <t>Председател на ОС на факултет; Председател на Контролен съвет на СА</t>
  </si>
  <si>
    <t>Член на Контролен съвет на СА „Д. А. Ценов”</t>
  </si>
  <si>
    <t>Ръководство на представителен отбор на Академията</t>
  </si>
  <si>
    <t>Член на национална агенция към МОН</t>
  </si>
  <si>
    <t>Член на комисия/експертна група към НАОА</t>
  </si>
  <si>
    <t>Ръководство на докторант. отписан с право на защита</t>
  </si>
  <si>
    <t>Ръководство на докторант. отписан без право на защита</t>
  </si>
  <si>
    <t>Зам. Ректор</t>
  </si>
  <si>
    <t>Декан, Директор/Ръководител на център, Ръководител на институт</t>
  </si>
  <si>
    <t>Ръководител на отдел/офис, Координатор на център/институт</t>
  </si>
  <si>
    <t>Главен координатор/Координатор/Експерт на сектор към център/институт</t>
  </si>
  <si>
    <t>Зам.-председател на ОС на СА „Д. А. Ценов”</t>
  </si>
  <si>
    <t>Зам.-председател на ОС на факултет; Зам.-председател на Контролен съвет на СА</t>
  </si>
  <si>
    <t>Главен редактор на издание на СА „Д. А. Ценов”</t>
  </si>
  <si>
    <t>Институционален Еразъм координатор</t>
  </si>
  <si>
    <t>Катедрен Еразъм координатор</t>
  </si>
  <si>
    <t>Катедрен Алумни координатор</t>
  </si>
  <si>
    <t>Член на редколегия на научно издание в СА „Д. А. Ценов“</t>
  </si>
  <si>
    <t>Научно ръководство на студентски разработки, представени на научни форуми</t>
  </si>
  <si>
    <t>Ръководство на специализанти (съгласно справка от ЦСФО и ЦПО)</t>
  </si>
  <si>
    <t>Главен редактор на външно за СА „Д. А. Ценов” издание</t>
  </si>
  <si>
    <t>Член на редколегия на чуждестранно научно издание</t>
  </si>
  <si>
    <t>Член на редколегия на национално научно издание (извън СА „Д. А. Ценов”)</t>
  </si>
  <si>
    <t>Международна мобилност с цел обучение</t>
  </si>
  <si>
    <t>Международна мобилност с цел преподаване</t>
  </si>
  <si>
    <t xml:space="preserve">„Aдминистративно-управленска дейност" </t>
  </si>
  <si>
    <t>Вид активност</t>
  </si>
  <si>
    <t>Обучителен курс</t>
  </si>
  <si>
    <t>"Повишаване на квалификацията"</t>
  </si>
  <si>
    <t>„АДМИНИСТРАТИВНО-УПРАВЛЕНСКА ДЕЙНОСТ И ПОВИШАВАНЕ НА КВАЛИФИКАЦИЯТА”</t>
  </si>
  <si>
    <t>ОБЩО ЗА ОБЛАСТ III  „АДМИНИСТРАТИВНО-УПРАВЛЕНСКА ДЕЙНОСТ И ПОВИШАВАНЕ НА КВАЛИФИКАЦИЯТА”</t>
  </si>
  <si>
    <t>Заетост в усл. ч.</t>
  </si>
  <si>
    <t>Описание на активността (име/година на курс, държава/година на мобилността)</t>
  </si>
  <si>
    <t>Международна мобилност с цел научни изследвания</t>
  </si>
  <si>
    <t>Катедра "Търговски бизнес"</t>
  </si>
  <si>
    <t>Катедра "Социални и правни науки"</t>
  </si>
  <si>
    <t>КСПН</t>
  </si>
  <si>
    <t>Катедра "Икономика и управление на туризма"</t>
  </si>
  <si>
    <t>КИУТ</t>
  </si>
  <si>
    <t>Доц. д-р П. Иванова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</si>
</sst>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-* #,##0.0\ _л_в_._-;\-* #,##0.0\ _л_в_._-;_-* &quot;-&quot;??\ _л_в_._-;_-@_-"/>
    <numFmt numFmtId="170" formatCode="_-* #,##0\ _л_в_._-;\-* #,##0\ _л_в_._-;_-* &quot;-&quot;??\ _л_в_._-;_-@_-"/>
    <numFmt numFmtId="171" formatCode="[$-402]dd\ mmmm\ yyyy"/>
    <numFmt numFmtId="172" formatCode="_-* #,##0.000\ _л_в_._-;\-* #,##0.000\ _л_в_._-;_-* &quot;-&quot;??\ _л_в_._-;_-@_-"/>
    <numFmt numFmtId="173" formatCode="_-* #,##0.0000\ _л_в_._-;\-* #,##0.0000\ _л_в_._-;_-* &quot;-&quot;??\ _л_в_._-;_-@_-"/>
    <numFmt numFmtId="174" formatCode="_-* #,##0.00000\ _л_в_._-;\-* #,##0.00000\ _л_в_._-;_-* &quot;-&quot;??\ _л_в_._-;_-@_-"/>
    <numFmt numFmtId="175" formatCode="_-* #,##0.000000\ _л_в_._-;\-* #,##0.000000\ _л_в_._-;_-* &quot;-&quot;??\ _л_в_._-;_-@_-"/>
    <numFmt numFmtId="176" formatCode="0.0"/>
    <numFmt numFmtId="177" formatCode="_-* #,##0.0\ _л_в_._-;\-* #,##0.0\ _л_в_._-;_-* &quot;-&quot;?\ _л_в_._-;_-@_-"/>
    <numFmt numFmtId="178" formatCode="[$-402]dd\ mmmm\ yyyy\ &quot;г.&quot;"/>
    <numFmt numFmtId="179" formatCode="hh:mm:ss\ &quot;ч.&quot;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0"/>
      <color indexed="8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ahoma"/>
      <family val="2"/>
    </font>
    <font>
      <b/>
      <vertAlign val="subscript"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9"/>
      <name val="Times New Roman"/>
      <family val="1"/>
    </font>
    <font>
      <sz val="14"/>
      <color indexed="8"/>
      <name val="Arial"/>
      <family val="2"/>
    </font>
    <font>
      <b/>
      <sz val="32"/>
      <color indexed="63"/>
      <name val="Times New Roman"/>
      <family val="1"/>
    </font>
    <font>
      <b/>
      <sz val="11"/>
      <color indexed="63"/>
      <name val="Times New Roman"/>
      <family val="1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i/>
      <sz val="20"/>
      <color indexed="8"/>
      <name val="Times New Roman"/>
      <family val="1"/>
    </font>
    <font>
      <b/>
      <sz val="21"/>
      <color indexed="9"/>
      <name val="Times New Roman"/>
      <family val="1"/>
    </font>
    <font>
      <b/>
      <sz val="12"/>
      <color indexed="8"/>
      <name val="Calibri"/>
      <family val="2"/>
    </font>
    <font>
      <b/>
      <sz val="15"/>
      <color indexed="62"/>
      <name val="Times New Roman"/>
      <family val="1"/>
    </font>
    <font>
      <b/>
      <i/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32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color indexed="8"/>
      <name val="Wingdings"/>
      <family val="0"/>
    </font>
    <font>
      <b/>
      <u val="single"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0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32"/>
      <color rgb="FF333333"/>
      <name val="Times New Roman"/>
      <family val="1"/>
    </font>
    <font>
      <b/>
      <sz val="11"/>
      <color rgb="FF333333"/>
      <name val="Times New Roman"/>
      <family val="1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i/>
      <sz val="20"/>
      <color theme="1"/>
      <name val="Times New Roman"/>
      <family val="1"/>
    </font>
    <font>
      <b/>
      <sz val="22"/>
      <color rgb="FFFFFFFF"/>
      <name val="Times New Roman"/>
      <family val="1"/>
    </font>
    <font>
      <b/>
      <sz val="21"/>
      <color theme="0"/>
      <name val="Times New Roman"/>
      <family val="1"/>
    </font>
    <font>
      <b/>
      <sz val="12"/>
      <color theme="1"/>
      <name val="Calibri"/>
      <family val="2"/>
    </font>
    <font>
      <b/>
      <sz val="18"/>
      <color rgb="FFFFFFFF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Wingdings"/>
      <family val="0"/>
    </font>
    <font>
      <b/>
      <sz val="11"/>
      <color theme="3" tint="0.39998000860214233"/>
      <name val="Times New Roman"/>
      <family val="1"/>
    </font>
    <font>
      <b/>
      <sz val="32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b/>
      <sz val="15"/>
      <color theme="3" tint="0.39998000860214233"/>
      <name val="Times New Roman"/>
      <family val="1"/>
    </font>
    <font>
      <sz val="11"/>
      <color theme="3" tint="0.39998000860214233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49997663497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80" fillId="0" borderId="10" xfId="0" applyFont="1" applyBorder="1" applyAlignment="1">
      <alignment horizontal="justify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9" fontId="80" fillId="0" borderId="10" xfId="0" applyNumberFormat="1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5" fillId="35" borderId="12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center" indent="15"/>
    </xf>
    <xf numFmtId="0" fontId="82" fillId="34" borderId="14" xfId="0" applyFont="1" applyFill="1" applyBorder="1" applyAlignment="1">
      <alignment horizontal="center" vertical="center" wrapText="1"/>
    </xf>
    <xf numFmtId="0" fontId="80" fillId="0" borderId="10" xfId="42" applyNumberFormat="1" applyFont="1" applyBorder="1" applyAlignment="1">
      <alignment horizontal="center" vertical="center" wrapText="1"/>
    </xf>
    <xf numFmtId="0" fontId="87" fillId="0" borderId="14" xfId="0" applyFont="1" applyBorder="1" applyAlignment="1">
      <alignment horizontal="justify" vertical="center" wrapText="1"/>
    </xf>
    <xf numFmtId="0" fontId="87" fillId="0" borderId="10" xfId="0" applyFont="1" applyBorder="1" applyAlignment="1">
      <alignment horizontal="justify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16" fontId="80" fillId="0" borderId="10" xfId="0" applyNumberFormat="1" applyFont="1" applyBorder="1" applyAlignment="1" quotePrefix="1">
      <alignment horizontal="center" vertical="center" wrapText="1"/>
    </xf>
    <xf numFmtId="0" fontId="88" fillId="0" borderId="0" xfId="0" applyFont="1" applyAlignment="1">
      <alignment horizontal="justify" vertical="center"/>
    </xf>
    <xf numFmtId="0" fontId="82" fillId="34" borderId="12" xfId="0" applyFont="1" applyFill="1" applyBorder="1" applyAlignment="1">
      <alignment horizontal="center" vertical="center" wrapText="1"/>
    </xf>
    <xf numFmtId="10" fontId="80" fillId="0" borderId="12" xfId="59" applyNumberFormat="1" applyFont="1" applyBorder="1" applyAlignment="1">
      <alignment horizontal="center" vertical="center" wrapText="1"/>
    </xf>
    <xf numFmtId="10" fontId="82" fillId="34" borderId="12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9" fontId="82" fillId="0" borderId="10" xfId="0" applyNumberFormat="1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0" fillId="0" borderId="14" xfId="0" applyFont="1" applyBorder="1" applyAlignment="1">
      <alignment vertical="center" wrapText="1"/>
    </xf>
    <xf numFmtId="0" fontId="82" fillId="0" borderId="13" xfId="0" applyFont="1" applyBorder="1" applyAlignment="1">
      <alignment horizontal="center" vertical="center" wrapText="1"/>
    </xf>
    <xf numFmtId="0" fontId="89" fillId="36" borderId="0" xfId="0" applyFont="1" applyFill="1" applyAlignment="1">
      <alignment horizontal="center" vertical="center"/>
    </xf>
    <xf numFmtId="0" fontId="80" fillId="0" borderId="12" xfId="0" applyFont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90" fillId="0" borderId="15" xfId="0" applyFont="1" applyBorder="1" applyAlignment="1">
      <alignment vertical="center" wrapText="1"/>
    </xf>
    <xf numFmtId="0" fontId="91" fillId="0" borderId="0" xfId="0" applyFont="1" applyAlignment="1">
      <alignment horizontal="justify" vertical="center"/>
    </xf>
    <xf numFmtId="0" fontId="80" fillId="0" borderId="0" xfId="0" applyFont="1" applyAlignment="1">
      <alignment horizontal="justify" vertical="center"/>
    </xf>
    <xf numFmtId="0" fontId="92" fillId="0" borderId="0" xfId="0" applyFont="1" applyAlignment="1">
      <alignment horizontal="justify" vertical="center"/>
    </xf>
    <xf numFmtId="0" fontId="85" fillId="0" borderId="0" xfId="0" applyFont="1" applyAlignment="1">
      <alignment horizontal="justify" vertical="center"/>
    </xf>
    <xf numFmtId="0" fontId="82" fillId="37" borderId="14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80" fillId="0" borderId="14" xfId="0" applyFont="1" applyBorder="1" applyAlignment="1">
      <alignment horizontal="justify" vertical="center" wrapText="1"/>
    </xf>
    <xf numFmtId="0" fontId="95" fillId="38" borderId="16" xfId="0" applyFont="1" applyFill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82" fillId="33" borderId="14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9" fillId="0" borderId="0" xfId="0" applyFont="1" applyFill="1" applyAlignment="1">
      <alignment/>
    </xf>
    <xf numFmtId="0" fontId="88" fillId="0" borderId="0" xfId="0" applyFont="1" applyFill="1" applyBorder="1" applyAlignment="1">
      <alignment horizontal="right" vertical="top" wrapText="1"/>
    </xf>
    <xf numFmtId="43" fontId="88" fillId="0" borderId="0" xfId="42" applyFont="1" applyFill="1" applyBorder="1" applyAlignment="1">
      <alignment vertical="center" wrapText="1"/>
    </xf>
    <xf numFmtId="0" fontId="85" fillId="39" borderId="12" xfId="0" applyFont="1" applyFill="1" applyBorder="1" applyAlignment="1" applyProtection="1">
      <alignment horizontal="center" vertical="center" wrapText="1"/>
      <protection locked="0"/>
    </xf>
    <xf numFmtId="0" fontId="98" fillId="39" borderId="12" xfId="0" applyFont="1" applyFill="1" applyBorder="1" applyAlignment="1" applyProtection="1">
      <alignment horizontal="center" vertical="center" wrapText="1"/>
      <protection locked="0"/>
    </xf>
    <xf numFmtId="0" fontId="80" fillId="39" borderId="12" xfId="0" applyFont="1" applyFill="1" applyBorder="1" applyAlignment="1" applyProtection="1">
      <alignment horizontal="center" vertical="center" wrapText="1"/>
      <protection locked="0"/>
    </xf>
    <xf numFmtId="43" fontId="80" fillId="39" borderId="12" xfId="42" applyFont="1" applyFill="1" applyBorder="1" applyAlignment="1" applyProtection="1">
      <alignment horizontal="center" vertical="center" wrapText="1"/>
      <protection locked="0"/>
    </xf>
    <xf numFmtId="0" fontId="85" fillId="39" borderId="14" xfId="0" applyFont="1" applyFill="1" applyBorder="1" applyAlignment="1" applyProtection="1">
      <alignment horizontal="right" vertical="center" wrapText="1"/>
      <protection locked="0"/>
    </xf>
    <xf numFmtId="0" fontId="80" fillId="39" borderId="14" xfId="0" applyFont="1" applyFill="1" applyBorder="1" applyAlignment="1" applyProtection="1">
      <alignment horizontal="center" vertical="center" wrapText="1"/>
      <protection locked="0"/>
    </xf>
    <xf numFmtId="0" fontId="98" fillId="39" borderId="14" xfId="0" applyFont="1" applyFill="1" applyBorder="1" applyAlignment="1" applyProtection="1">
      <alignment vertical="center" wrapText="1"/>
      <protection locked="0"/>
    </xf>
    <xf numFmtId="0" fontId="81" fillId="39" borderId="14" xfId="0" applyFont="1" applyFill="1" applyBorder="1" applyAlignment="1" applyProtection="1">
      <alignment vertical="center" wrapText="1"/>
      <protection locked="0"/>
    </xf>
    <xf numFmtId="0" fontId="80" fillId="39" borderId="14" xfId="0" applyFont="1" applyFill="1" applyBorder="1" applyAlignment="1" applyProtection="1">
      <alignment vertical="center" wrapText="1"/>
      <protection locked="0"/>
    </xf>
    <xf numFmtId="0" fontId="88" fillId="0" borderId="0" xfId="0" applyFont="1" applyFill="1" applyBorder="1" applyAlignment="1">
      <alignment horizontal="right" vertical="center" wrapText="1"/>
    </xf>
    <xf numFmtId="0" fontId="96" fillId="39" borderId="16" xfId="0" applyFont="1" applyFill="1" applyBorder="1" applyAlignment="1" applyProtection="1">
      <alignment/>
      <protection locked="0"/>
    </xf>
    <xf numFmtId="0" fontId="96" fillId="39" borderId="17" xfId="0" applyFont="1" applyFill="1" applyBorder="1" applyAlignment="1" applyProtection="1">
      <alignment horizontal="right"/>
      <protection locked="0"/>
    </xf>
    <xf numFmtId="0" fontId="96" fillId="39" borderId="17" xfId="0" applyFont="1" applyFill="1" applyBorder="1" applyAlignment="1" applyProtection="1">
      <alignment/>
      <protection locked="0"/>
    </xf>
    <xf numFmtId="0" fontId="80" fillId="0" borderId="18" xfId="0" applyFont="1" applyFill="1" applyBorder="1" applyAlignment="1">
      <alignment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2" fillId="41" borderId="14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0" fillId="39" borderId="14" xfId="0" applyFont="1" applyFill="1" applyBorder="1" applyAlignment="1" applyProtection="1">
      <alignment horizontal="center" vertical="center" wrapText="1"/>
      <protection locked="0"/>
    </xf>
    <xf numFmtId="0" fontId="99" fillId="0" borderId="0" xfId="0" applyFont="1" applyFill="1" applyAlignment="1">
      <alignment horizontal="left" vertical="center"/>
    </xf>
    <xf numFmtId="0" fontId="9" fillId="42" borderId="0" xfId="0" applyFont="1" applyFill="1" applyAlignment="1">
      <alignment horizontal="left" vertical="center" wrapText="1"/>
    </xf>
    <xf numFmtId="0" fontId="91" fillId="2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 vertical="center" wrapText="1"/>
    </xf>
    <xf numFmtId="0" fontId="91" fillId="33" borderId="14" xfId="0" applyFont="1" applyFill="1" applyBorder="1" applyAlignment="1">
      <alignment horizontal="center" vertical="center" wrapText="1"/>
    </xf>
    <xf numFmtId="0" fontId="82" fillId="42" borderId="14" xfId="0" applyFont="1" applyFill="1" applyBorder="1" applyAlignment="1">
      <alignment horizontal="center" vertical="center" wrapText="1"/>
    </xf>
    <xf numFmtId="0" fontId="101" fillId="36" borderId="0" xfId="0" applyFont="1" applyFill="1" applyAlignment="1">
      <alignment horizontal="center" vertical="center"/>
    </xf>
    <xf numFmtId="0" fontId="82" fillId="43" borderId="14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14" fontId="92" fillId="0" borderId="0" xfId="0" applyNumberFormat="1" applyFont="1" applyFill="1" applyAlignment="1" applyProtection="1">
      <alignment horizontal="center" vertical="center"/>
      <protection locked="0"/>
    </xf>
    <xf numFmtId="43" fontId="88" fillId="0" borderId="0" xfId="42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78" fillId="44" borderId="0" xfId="0" applyFont="1" applyFill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82" fillId="33" borderId="12" xfId="0" applyNumberFormat="1" applyFont="1" applyFill="1" applyBorder="1" applyAlignment="1">
      <alignment horizontal="center" vertical="center" wrapText="1"/>
    </xf>
    <xf numFmtId="176" fontId="82" fillId="42" borderId="14" xfId="0" applyNumberFormat="1" applyFont="1" applyFill="1" applyBorder="1" applyAlignment="1">
      <alignment horizontal="center" vertical="center" wrapText="1"/>
    </xf>
    <xf numFmtId="176" fontId="88" fillId="45" borderId="14" xfId="0" applyNumberFormat="1" applyFont="1" applyFill="1" applyBorder="1" applyAlignment="1">
      <alignment horizontal="center" vertical="center" wrapText="1"/>
    </xf>
    <xf numFmtId="176" fontId="80" fillId="0" borderId="14" xfId="0" applyNumberFormat="1" applyFont="1" applyBorder="1" applyAlignment="1">
      <alignment horizontal="center" vertical="center" wrapText="1"/>
    </xf>
    <xf numFmtId="176" fontId="82" fillId="34" borderId="14" xfId="0" applyNumberFormat="1" applyFont="1" applyFill="1" applyBorder="1" applyAlignment="1">
      <alignment horizontal="center" vertical="center" wrapText="1"/>
    </xf>
    <xf numFmtId="176" fontId="80" fillId="0" borderId="14" xfId="0" applyNumberFormat="1" applyFont="1" applyFill="1" applyBorder="1" applyAlignment="1">
      <alignment horizontal="center" vertical="center" wrapText="1"/>
    </xf>
    <xf numFmtId="176" fontId="88" fillId="34" borderId="14" xfId="0" applyNumberFormat="1" applyFont="1" applyFill="1" applyBorder="1" applyAlignment="1">
      <alignment horizontal="center" vertical="center" wrapText="1"/>
    </xf>
    <xf numFmtId="176" fontId="88" fillId="33" borderId="14" xfId="0" applyNumberFormat="1" applyFont="1" applyFill="1" applyBorder="1" applyAlignment="1">
      <alignment horizontal="center" vertical="center" wrapText="1"/>
    </xf>
    <xf numFmtId="176" fontId="78" fillId="42" borderId="14" xfId="0" applyNumberFormat="1" applyFont="1" applyFill="1" applyBorder="1" applyAlignment="1">
      <alignment horizontal="center" vertical="center"/>
    </xf>
    <xf numFmtId="176" fontId="85" fillId="0" borderId="12" xfId="42" applyNumberFormat="1" applyFont="1" applyFill="1" applyBorder="1" applyAlignment="1">
      <alignment horizontal="center" vertical="center" wrapText="1"/>
    </xf>
    <xf numFmtId="176" fontId="85" fillId="0" borderId="12" xfId="42" applyNumberFormat="1" applyFont="1" applyBorder="1" applyAlignment="1">
      <alignment horizontal="center" vertical="center" wrapText="1"/>
    </xf>
    <xf numFmtId="176" fontId="88" fillId="27" borderId="12" xfId="42" applyNumberFormat="1" applyFont="1" applyFill="1" applyBorder="1" applyAlignment="1">
      <alignment horizontal="center" vertical="center" wrapText="1"/>
    </xf>
    <xf numFmtId="176" fontId="88" fillId="33" borderId="12" xfId="0" applyNumberFormat="1" applyFont="1" applyFill="1" applyBorder="1" applyAlignment="1">
      <alignment horizontal="center" vertical="center" wrapText="1"/>
    </xf>
    <xf numFmtId="176" fontId="88" fillId="33" borderId="14" xfId="42" applyNumberFormat="1" applyFont="1" applyFill="1" applyBorder="1" applyAlignment="1">
      <alignment horizontal="center" vertical="center" wrapText="1"/>
    </xf>
    <xf numFmtId="176" fontId="85" fillId="34" borderId="14" xfId="0" applyNumberFormat="1" applyFont="1" applyFill="1" applyBorder="1" applyAlignment="1">
      <alignment horizontal="center" vertical="center" wrapText="1"/>
    </xf>
    <xf numFmtId="176" fontId="85" fillId="34" borderId="14" xfId="42" applyNumberFormat="1" applyFont="1" applyFill="1" applyBorder="1" applyAlignment="1">
      <alignment horizontal="center" vertical="center" wrapText="1"/>
    </xf>
    <xf numFmtId="176" fontId="80" fillId="0" borderId="12" xfId="42" applyNumberFormat="1" applyFont="1" applyBorder="1" applyAlignment="1">
      <alignment horizontal="center" vertical="center" wrapText="1"/>
    </xf>
    <xf numFmtId="176" fontId="88" fillId="34" borderId="12" xfId="42" applyNumberFormat="1" applyFont="1" applyFill="1" applyBorder="1" applyAlignment="1">
      <alignment horizontal="center" vertical="center" wrapText="1"/>
    </xf>
    <xf numFmtId="176" fontId="88" fillId="34" borderId="12" xfId="0" applyNumberFormat="1" applyFont="1" applyFill="1" applyBorder="1" applyAlignment="1">
      <alignment horizontal="center" vertical="center" wrapText="1"/>
    </xf>
    <xf numFmtId="176" fontId="82" fillId="0" borderId="14" xfId="0" applyNumberFormat="1" applyFont="1" applyBorder="1" applyAlignment="1">
      <alignment horizontal="center" vertical="center" wrapText="1"/>
    </xf>
    <xf numFmtId="0" fontId="88" fillId="46" borderId="14" xfId="42" applyNumberFormat="1" applyFont="1" applyFill="1" applyBorder="1" applyAlignment="1">
      <alignment horizontal="center" vertical="center" wrapText="1"/>
    </xf>
    <xf numFmtId="176" fontId="88" fillId="34" borderId="14" xfId="42" applyNumberFormat="1" applyFont="1" applyFill="1" applyBorder="1" applyAlignment="1">
      <alignment horizontal="center" vertical="center" wrapText="1"/>
    </xf>
    <xf numFmtId="176" fontId="88" fillId="46" borderId="14" xfId="42" applyNumberFormat="1" applyFont="1" applyFill="1" applyBorder="1" applyAlignment="1">
      <alignment horizontal="center" vertical="center" wrapText="1"/>
    </xf>
    <xf numFmtId="1" fontId="88" fillId="46" borderId="14" xfId="42" applyNumberFormat="1" applyFont="1" applyFill="1" applyBorder="1" applyAlignment="1">
      <alignment horizontal="center" vertical="center" wrapText="1"/>
    </xf>
    <xf numFmtId="176" fontId="82" fillId="33" borderId="14" xfId="0" applyNumberFormat="1" applyFont="1" applyFill="1" applyBorder="1" applyAlignment="1">
      <alignment horizontal="center" vertical="center" wrapText="1"/>
    </xf>
    <xf numFmtId="176" fontId="82" fillId="47" borderId="14" xfId="0" applyNumberFormat="1" applyFont="1" applyFill="1" applyBorder="1" applyAlignment="1">
      <alignment horizontal="center" vertical="center" wrapText="1"/>
    </xf>
    <xf numFmtId="176" fontId="82" fillId="33" borderId="12" xfId="42" applyNumberFormat="1" applyFont="1" applyFill="1" applyBorder="1" applyAlignment="1">
      <alignment horizontal="center" vertical="center" wrapText="1"/>
    </xf>
    <xf numFmtId="176" fontId="82" fillId="45" borderId="14" xfId="0" applyNumberFormat="1" applyFont="1" applyFill="1" applyBorder="1" applyAlignment="1">
      <alignment horizontal="center" vertical="center" wrapText="1"/>
    </xf>
    <xf numFmtId="176" fontId="80" fillId="34" borderId="12" xfId="0" applyNumberFormat="1" applyFont="1" applyFill="1" applyBorder="1" applyAlignment="1">
      <alignment horizontal="center" vertical="center" wrapText="1"/>
    </xf>
    <xf numFmtId="176" fontId="82" fillId="43" borderId="14" xfId="42" applyNumberFormat="1" applyFont="1" applyFill="1" applyBorder="1" applyAlignment="1">
      <alignment horizontal="center" vertical="center" wrapText="1"/>
    </xf>
    <xf numFmtId="176" fontId="91" fillId="34" borderId="14" xfId="42" applyNumberFormat="1" applyFont="1" applyFill="1" applyBorder="1" applyAlignment="1">
      <alignment horizontal="center" vertical="center" wrapText="1"/>
    </xf>
    <xf numFmtId="0" fontId="80" fillId="39" borderId="14" xfId="0" applyFont="1" applyFill="1" applyBorder="1" applyAlignment="1" applyProtection="1">
      <alignment horizontal="center" vertical="center" wrapText="1"/>
      <protection locked="0"/>
    </xf>
    <xf numFmtId="0" fontId="80" fillId="0" borderId="19" xfId="0" applyFont="1" applyFill="1" applyBorder="1" applyAlignment="1">
      <alignment horizontal="justify" vertical="center" wrapText="1"/>
    </xf>
    <xf numFmtId="0" fontId="9" fillId="40" borderId="0" xfId="0" applyFont="1" applyFill="1" applyAlignment="1">
      <alignment horizontal="center" vertical="center" wrapText="1"/>
    </xf>
    <xf numFmtId="176" fontId="80" fillId="0" borderId="14" xfId="0" applyNumberFormat="1" applyFont="1" applyBorder="1" applyAlignment="1">
      <alignment horizontal="center" vertical="center" wrapText="1"/>
    </xf>
    <xf numFmtId="0" fontId="91" fillId="33" borderId="14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right" vertical="center" wrapText="1"/>
    </xf>
    <xf numFmtId="0" fontId="82" fillId="0" borderId="23" xfId="0" applyFont="1" applyBorder="1" applyAlignment="1">
      <alignment horizontal="right" vertical="center" wrapText="1"/>
    </xf>
    <xf numFmtId="0" fontId="80" fillId="0" borderId="0" xfId="0" applyFont="1" applyAlignment="1">
      <alignment/>
    </xf>
    <xf numFmtId="0" fontId="80" fillId="39" borderId="24" xfId="0" applyFont="1" applyFill="1" applyBorder="1" applyAlignment="1" applyProtection="1">
      <alignment horizontal="left" vertical="center" wrapText="1"/>
      <protection locked="0"/>
    </xf>
    <xf numFmtId="0" fontId="80" fillId="39" borderId="25" xfId="0" applyFont="1" applyFill="1" applyBorder="1" applyAlignment="1" applyProtection="1">
      <alignment horizontal="left" vertical="center" wrapText="1"/>
      <protection locked="0"/>
    </xf>
    <xf numFmtId="0" fontId="80" fillId="39" borderId="13" xfId="0" applyFont="1" applyFill="1" applyBorder="1" applyAlignment="1" applyProtection="1">
      <alignment horizontal="left" vertical="center" wrapText="1"/>
      <protection locked="0"/>
    </xf>
    <xf numFmtId="0" fontId="9" fillId="40" borderId="0" xfId="0" applyFont="1" applyFill="1" applyAlignment="1">
      <alignment horizontal="center" vertical="center" wrapText="1"/>
    </xf>
    <xf numFmtId="0" fontId="82" fillId="34" borderId="24" xfId="0" applyFont="1" applyFill="1" applyBorder="1" applyAlignment="1">
      <alignment horizontal="right" vertical="center" wrapText="1"/>
    </xf>
    <xf numFmtId="0" fontId="82" fillId="34" borderId="25" xfId="0" applyFont="1" applyFill="1" applyBorder="1" applyAlignment="1">
      <alignment horizontal="right" vertical="center" wrapText="1"/>
    </xf>
    <xf numFmtId="0" fontId="82" fillId="34" borderId="13" xfId="0" applyFont="1" applyFill="1" applyBorder="1" applyAlignment="1">
      <alignment horizontal="right" vertical="center" wrapText="1"/>
    </xf>
    <xf numFmtId="0" fontId="91" fillId="33" borderId="24" xfId="0" applyFont="1" applyFill="1" applyBorder="1" applyAlignment="1">
      <alignment horizontal="center" vertical="center" wrapText="1"/>
    </xf>
    <xf numFmtId="0" fontId="91" fillId="33" borderId="25" xfId="0" applyFont="1" applyFill="1" applyBorder="1" applyAlignment="1">
      <alignment horizontal="center" vertical="center" wrapText="1"/>
    </xf>
    <xf numFmtId="0" fontId="91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0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1" fillId="2" borderId="0" xfId="0" applyFont="1" applyFill="1" applyAlignment="1">
      <alignment horizontal="center" vertical="center"/>
    </xf>
    <xf numFmtId="0" fontId="80" fillId="0" borderId="24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0" fillId="0" borderId="13" xfId="0" applyFont="1" applyFill="1" applyBorder="1" applyAlignment="1">
      <alignment horizontal="left" vertical="center" wrapText="1"/>
    </xf>
    <xf numFmtId="0" fontId="0" fillId="39" borderId="14" xfId="0" applyFill="1" applyBorder="1" applyAlignment="1" applyProtection="1">
      <alignment horizontal="left"/>
      <protection locked="0"/>
    </xf>
    <xf numFmtId="0" fontId="82" fillId="34" borderId="14" xfId="0" applyFont="1" applyFill="1" applyBorder="1" applyAlignment="1">
      <alignment horizontal="right" vertical="center" wrapText="1"/>
    </xf>
    <xf numFmtId="176" fontId="80" fillId="0" borderId="24" xfId="42" applyNumberFormat="1" applyFont="1" applyFill="1" applyBorder="1" applyAlignment="1">
      <alignment horizontal="center" vertical="center"/>
    </xf>
    <xf numFmtId="176" fontId="80" fillId="0" borderId="13" xfId="42" applyNumberFormat="1" applyFont="1" applyFill="1" applyBorder="1" applyAlignment="1">
      <alignment horizontal="center" vertical="center"/>
    </xf>
    <xf numFmtId="0" fontId="80" fillId="0" borderId="24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88" fillId="34" borderId="24" xfId="0" applyFont="1" applyFill="1" applyBorder="1" applyAlignment="1">
      <alignment horizontal="right" vertical="center" wrapText="1"/>
    </xf>
    <xf numFmtId="0" fontId="88" fillId="34" borderId="25" xfId="0" applyFont="1" applyFill="1" applyBorder="1" applyAlignment="1">
      <alignment horizontal="right" vertical="center" wrapText="1"/>
    </xf>
    <xf numFmtId="0" fontId="88" fillId="34" borderId="13" xfId="0" applyFont="1" applyFill="1" applyBorder="1" applyAlignment="1">
      <alignment horizontal="right" vertical="center" wrapText="1"/>
    </xf>
    <xf numFmtId="0" fontId="88" fillId="34" borderId="24" xfId="0" applyFont="1" applyFill="1" applyBorder="1" applyAlignment="1">
      <alignment horizontal="center" vertical="center" wrapText="1"/>
    </xf>
    <xf numFmtId="0" fontId="88" fillId="34" borderId="25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0" fontId="88" fillId="46" borderId="24" xfId="0" applyFont="1" applyFill="1" applyBorder="1" applyAlignment="1">
      <alignment horizontal="right" vertical="center" wrapText="1"/>
    </xf>
    <xf numFmtId="0" fontId="88" fillId="46" borderId="25" xfId="0" applyFont="1" applyFill="1" applyBorder="1" applyAlignment="1">
      <alignment horizontal="right" vertical="center" wrapText="1"/>
    </xf>
    <xf numFmtId="0" fontId="88" fillId="46" borderId="13" xfId="0" applyFont="1" applyFill="1" applyBorder="1" applyAlignment="1">
      <alignment horizontal="right" vertical="center" wrapText="1"/>
    </xf>
    <xf numFmtId="0" fontId="103" fillId="48" borderId="0" xfId="0" applyFont="1" applyFill="1" applyAlignment="1">
      <alignment horizontal="center" vertical="center" wrapText="1"/>
    </xf>
    <xf numFmtId="0" fontId="88" fillId="34" borderId="14" xfId="0" applyFont="1" applyFill="1" applyBorder="1" applyAlignment="1">
      <alignment horizontal="right" vertical="center" wrapText="1"/>
    </xf>
    <xf numFmtId="0" fontId="104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Fill="1" applyAlignment="1">
      <alignment horizontal="center"/>
    </xf>
    <xf numFmtId="0" fontId="87" fillId="43" borderId="14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 wrapText="1"/>
    </xf>
    <xf numFmtId="0" fontId="84" fillId="41" borderId="24" xfId="0" applyFont="1" applyFill="1" applyBorder="1" applyAlignment="1">
      <alignment horizontal="right" vertical="center" wrapText="1"/>
    </xf>
    <xf numFmtId="0" fontId="84" fillId="41" borderId="25" xfId="0" applyFont="1" applyFill="1" applyBorder="1" applyAlignment="1">
      <alignment horizontal="right" vertical="center" wrapText="1"/>
    </xf>
    <xf numFmtId="0" fontId="84" fillId="41" borderId="13" xfId="0" applyFont="1" applyFill="1" applyBorder="1" applyAlignment="1">
      <alignment horizontal="right" vertical="center" wrapText="1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5" xfId="0" applyFont="1" applyFill="1" applyBorder="1" applyAlignment="1">
      <alignment horizontal="center" vertical="center" wrapText="1"/>
    </xf>
    <xf numFmtId="0" fontId="91" fillId="34" borderId="13" xfId="0" applyFont="1" applyFill="1" applyBorder="1" applyAlignment="1">
      <alignment horizontal="center" vertical="center" wrapText="1"/>
    </xf>
    <xf numFmtId="176" fontId="80" fillId="0" borderId="24" xfId="42" applyNumberFormat="1" applyFont="1" applyBorder="1" applyAlignment="1">
      <alignment horizontal="center" vertical="center"/>
    </xf>
    <xf numFmtId="176" fontId="80" fillId="0" borderId="13" xfId="42" applyNumberFormat="1" applyFont="1" applyBorder="1" applyAlignment="1">
      <alignment horizontal="center" vertical="center"/>
    </xf>
    <xf numFmtId="0" fontId="82" fillId="49" borderId="14" xfId="0" applyFont="1" applyFill="1" applyBorder="1" applyAlignment="1">
      <alignment horizontal="center" vertical="center" wrapText="1"/>
    </xf>
    <xf numFmtId="176" fontId="82" fillId="34" borderId="14" xfId="42" applyNumberFormat="1" applyFont="1" applyFill="1" applyBorder="1" applyAlignment="1">
      <alignment horizontal="center" vertical="center" wrapText="1"/>
    </xf>
    <xf numFmtId="0" fontId="82" fillId="34" borderId="24" xfId="0" applyFont="1" applyFill="1" applyBorder="1" applyAlignment="1">
      <alignment horizontal="center" vertical="center" wrapText="1"/>
    </xf>
    <xf numFmtId="0" fontId="82" fillId="34" borderId="25" xfId="0" applyFont="1" applyFill="1" applyBorder="1" applyAlignment="1">
      <alignment horizontal="center" vertical="center" wrapText="1"/>
    </xf>
    <xf numFmtId="0" fontId="82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80" fillId="0" borderId="14" xfId="59" applyNumberFormat="1" applyFont="1" applyBorder="1" applyAlignment="1">
      <alignment horizontal="center" vertical="center" wrapText="1"/>
    </xf>
    <xf numFmtId="176" fontId="80" fillId="0" borderId="14" xfId="0" applyNumberFormat="1" applyFont="1" applyBorder="1" applyAlignment="1">
      <alignment horizontal="center" vertical="center" wrapText="1"/>
    </xf>
    <xf numFmtId="0" fontId="98" fillId="39" borderId="24" xfId="0" applyFont="1" applyFill="1" applyBorder="1" applyAlignment="1" applyProtection="1">
      <alignment horizontal="left" vertical="center" wrapText="1"/>
      <protection locked="0"/>
    </xf>
    <xf numFmtId="0" fontId="98" fillId="39" borderId="25" xfId="0" applyFont="1" applyFill="1" applyBorder="1" applyAlignment="1" applyProtection="1">
      <alignment horizontal="left" vertical="center" wrapText="1"/>
      <protection locked="0"/>
    </xf>
    <xf numFmtId="0" fontId="98" fillId="39" borderId="13" xfId="0" applyFont="1" applyFill="1" applyBorder="1" applyAlignment="1" applyProtection="1">
      <alignment horizontal="left" vertical="center" wrapText="1"/>
      <protection locked="0"/>
    </xf>
    <xf numFmtId="0" fontId="81" fillId="33" borderId="24" xfId="0" applyFont="1" applyFill="1" applyBorder="1" applyAlignment="1">
      <alignment horizontal="center" vertical="center" wrapText="1"/>
    </xf>
    <xf numFmtId="0" fontId="81" fillId="33" borderId="25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82" fillId="33" borderId="14" xfId="0" applyFont="1" applyFill="1" applyBorder="1" applyAlignment="1">
      <alignment horizontal="center" vertical="center" wrapText="1"/>
    </xf>
    <xf numFmtId="0" fontId="88" fillId="45" borderId="14" xfId="0" applyFont="1" applyFill="1" applyBorder="1" applyAlignment="1">
      <alignment horizontal="right" vertical="center" wrapText="1"/>
    </xf>
    <xf numFmtId="0" fontId="82" fillId="33" borderId="14" xfId="0" applyFont="1" applyFill="1" applyBorder="1" applyAlignment="1">
      <alignment horizontal="right" vertical="center" wrapText="1"/>
    </xf>
    <xf numFmtId="0" fontId="81" fillId="42" borderId="14" xfId="0" applyFont="1" applyFill="1" applyBorder="1" applyAlignment="1">
      <alignment horizontal="right" vertical="center" wrapText="1"/>
    </xf>
    <xf numFmtId="0" fontId="82" fillId="33" borderId="24" xfId="0" applyFont="1" applyFill="1" applyBorder="1" applyAlignment="1">
      <alignment horizontal="center" vertical="center" wrapText="1"/>
    </xf>
    <xf numFmtId="0" fontId="82" fillId="33" borderId="25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24" xfId="0" applyFont="1" applyFill="1" applyBorder="1" applyAlignment="1">
      <alignment horizontal="right" vertical="center" wrapText="1"/>
    </xf>
    <xf numFmtId="0" fontId="82" fillId="33" borderId="25" xfId="0" applyFont="1" applyFill="1" applyBorder="1" applyAlignment="1">
      <alignment horizontal="right" vertical="center" wrapText="1"/>
    </xf>
    <xf numFmtId="0" fontId="82" fillId="33" borderId="13" xfId="0" applyFont="1" applyFill="1" applyBorder="1" applyAlignment="1">
      <alignment horizontal="right" vertical="center" wrapText="1"/>
    </xf>
    <xf numFmtId="176" fontId="80" fillId="0" borderId="24" xfId="42" applyNumberFormat="1" applyFont="1" applyBorder="1" applyAlignment="1">
      <alignment horizontal="center" vertical="center" wrapText="1"/>
    </xf>
    <xf numFmtId="176" fontId="80" fillId="0" borderId="13" xfId="42" applyNumberFormat="1" applyFont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left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91" fillId="2" borderId="0" xfId="0" applyFont="1" applyFill="1" applyAlignment="1">
      <alignment horizontal="center" vertical="center" wrapText="1"/>
    </xf>
    <xf numFmtId="0" fontId="100" fillId="48" borderId="0" xfId="0" applyFont="1" applyFill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81" fillId="47" borderId="14" xfId="0" applyFont="1" applyFill="1" applyBorder="1" applyAlignment="1">
      <alignment horizontal="right" vertical="center" wrapText="1"/>
    </xf>
    <xf numFmtId="2" fontId="98" fillId="0" borderId="24" xfId="42" applyNumberFormat="1" applyFont="1" applyBorder="1" applyAlignment="1">
      <alignment horizontal="center" vertical="center"/>
    </xf>
    <xf numFmtId="2" fontId="98" fillId="0" borderId="13" xfId="42" applyNumberFormat="1" applyFont="1" applyBorder="1" applyAlignment="1">
      <alignment horizontal="center" vertical="center"/>
    </xf>
    <xf numFmtId="0" fontId="91" fillId="33" borderId="14" xfId="0" applyFont="1" applyFill="1" applyBorder="1" applyAlignment="1">
      <alignment horizontal="center" vertical="center" wrapText="1"/>
    </xf>
    <xf numFmtId="0" fontId="80" fillId="39" borderId="24" xfId="0" applyFont="1" applyFill="1" applyBorder="1" applyAlignment="1" applyProtection="1">
      <alignment horizontal="center" vertical="center" wrapText="1"/>
      <protection locked="0"/>
    </xf>
    <xf numFmtId="0" fontId="80" fillId="39" borderId="13" xfId="0" applyFont="1" applyFill="1" applyBorder="1" applyAlignment="1" applyProtection="1">
      <alignment horizontal="center" vertical="center" wrapText="1"/>
      <protection locked="0"/>
    </xf>
    <xf numFmtId="0" fontId="88" fillId="33" borderId="24" xfId="0" applyFont="1" applyFill="1" applyBorder="1" applyAlignment="1">
      <alignment horizontal="right" vertical="center" wrapText="1"/>
    </xf>
    <xf numFmtId="0" fontId="88" fillId="33" borderId="25" xfId="0" applyFont="1" applyFill="1" applyBorder="1" applyAlignment="1">
      <alignment horizontal="right" vertical="center" wrapText="1"/>
    </xf>
    <xf numFmtId="0" fontId="88" fillId="33" borderId="13" xfId="0" applyFont="1" applyFill="1" applyBorder="1" applyAlignment="1">
      <alignment horizontal="right" vertical="center" wrapText="1"/>
    </xf>
    <xf numFmtId="0" fontId="88" fillId="34" borderId="14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8" fillId="39" borderId="14" xfId="0" applyFont="1" applyFill="1" applyBorder="1" applyAlignment="1" applyProtection="1">
      <alignment horizontal="center" vertical="center" wrapText="1"/>
      <protection locked="0"/>
    </xf>
    <xf numFmtId="0" fontId="0" fillId="39" borderId="14" xfId="0" applyNumberFormat="1" applyFill="1" applyBorder="1" applyAlignment="1" applyProtection="1" quotePrefix="1">
      <alignment horizontal="center"/>
      <protection locked="0"/>
    </xf>
    <xf numFmtId="0" fontId="0" fillId="39" borderId="14" xfId="0" applyNumberFormat="1" applyFill="1" applyBorder="1" applyAlignment="1" applyProtection="1">
      <alignment horizontal="center"/>
      <protection locked="0"/>
    </xf>
    <xf numFmtId="0" fontId="80" fillId="39" borderId="14" xfId="0" applyFont="1" applyFill="1" applyBorder="1" applyAlignment="1" applyProtection="1">
      <alignment horizontal="center" vertical="center" wrapText="1"/>
      <protection locked="0"/>
    </xf>
    <xf numFmtId="0" fontId="88" fillId="33" borderId="14" xfId="0" applyFont="1" applyFill="1" applyBorder="1" applyAlignment="1">
      <alignment horizontal="right" vertical="center" wrapText="1"/>
    </xf>
    <xf numFmtId="0" fontId="81" fillId="33" borderId="26" xfId="0" applyFont="1" applyFill="1" applyBorder="1" applyAlignment="1">
      <alignment horizontal="center" vertical="center" wrapText="1"/>
    </xf>
    <xf numFmtId="0" fontId="81" fillId="33" borderId="27" xfId="0" applyFont="1" applyFill="1" applyBorder="1" applyAlignment="1">
      <alignment horizontal="center" vertical="center" wrapText="1"/>
    </xf>
    <xf numFmtId="0" fontId="91" fillId="33" borderId="28" xfId="0" applyFont="1" applyFill="1" applyBorder="1" applyAlignment="1">
      <alignment horizontal="center" vertical="center" wrapText="1"/>
    </xf>
    <xf numFmtId="0" fontId="91" fillId="33" borderId="29" xfId="0" applyFont="1" applyFill="1" applyBorder="1" applyAlignment="1">
      <alignment horizontal="center" vertical="center" wrapText="1"/>
    </xf>
    <xf numFmtId="0" fontId="91" fillId="33" borderId="30" xfId="0" applyFont="1" applyFill="1" applyBorder="1" applyAlignment="1">
      <alignment horizontal="center" vertical="center" wrapText="1"/>
    </xf>
    <xf numFmtId="0" fontId="91" fillId="33" borderId="31" xfId="0" applyFont="1" applyFill="1" applyBorder="1" applyAlignment="1">
      <alignment horizontal="center" vertical="center" wrapText="1"/>
    </xf>
    <xf numFmtId="0" fontId="88" fillId="46" borderId="14" xfId="0" applyFont="1" applyFill="1" applyBorder="1" applyAlignment="1">
      <alignment horizontal="right" vertical="center" wrapText="1"/>
    </xf>
    <xf numFmtId="0" fontId="88" fillId="33" borderId="24" xfId="0" applyFont="1" applyFill="1" applyBorder="1" applyAlignment="1">
      <alignment horizontal="right" vertical="top" wrapText="1"/>
    </xf>
    <xf numFmtId="0" fontId="88" fillId="33" borderId="25" xfId="0" applyFont="1" applyFill="1" applyBorder="1" applyAlignment="1">
      <alignment horizontal="right" vertical="top" wrapText="1"/>
    </xf>
    <xf numFmtId="0" fontId="88" fillId="33" borderId="13" xfId="0" applyFont="1" applyFill="1" applyBorder="1" applyAlignment="1">
      <alignment horizontal="right" vertical="top" wrapText="1"/>
    </xf>
    <xf numFmtId="0" fontId="88" fillId="0" borderId="24" xfId="0" applyFont="1" applyBorder="1" applyAlignment="1">
      <alignment horizontal="right" vertical="center" wrapText="1"/>
    </xf>
    <xf numFmtId="0" fontId="88" fillId="0" borderId="25" xfId="0" applyFont="1" applyBorder="1" applyAlignment="1">
      <alignment horizontal="right" vertical="center" wrapText="1"/>
    </xf>
    <xf numFmtId="0" fontId="88" fillId="0" borderId="13" xfId="0" applyFont="1" applyBorder="1" applyAlignment="1">
      <alignment horizontal="right" vertical="center" wrapText="1"/>
    </xf>
    <xf numFmtId="0" fontId="88" fillId="27" borderId="24" xfId="0" applyFont="1" applyFill="1" applyBorder="1" applyAlignment="1">
      <alignment horizontal="right" vertical="center" wrapText="1"/>
    </xf>
    <xf numFmtId="0" fontId="88" fillId="27" borderId="25" xfId="0" applyFont="1" applyFill="1" applyBorder="1" applyAlignment="1">
      <alignment horizontal="right" vertical="center" wrapText="1"/>
    </xf>
    <xf numFmtId="0" fontId="88" fillId="27" borderId="13" xfId="0" applyFont="1" applyFill="1" applyBorder="1" applyAlignment="1">
      <alignment horizontal="right" vertical="center" wrapText="1"/>
    </xf>
    <xf numFmtId="0" fontId="91" fillId="2" borderId="0" xfId="0" applyFont="1" applyFill="1" applyAlignment="1" quotePrefix="1">
      <alignment horizontal="center" vertical="center" wrapText="1"/>
    </xf>
    <xf numFmtId="0" fontId="108" fillId="0" borderId="0" xfId="0" applyFont="1" applyFill="1" applyAlignment="1">
      <alignment horizontal="center"/>
    </xf>
    <xf numFmtId="0" fontId="109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110" fillId="0" borderId="0" xfId="0" applyFont="1" applyFill="1" applyAlignment="1">
      <alignment horizontal="center"/>
    </xf>
    <xf numFmtId="0" fontId="82" fillId="41" borderId="14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91" fillId="35" borderId="0" xfId="0" applyFont="1" applyFill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1" fontId="82" fillId="34" borderId="14" xfId="42" applyNumberFormat="1" applyFont="1" applyFill="1" applyBorder="1" applyAlignment="1">
      <alignment horizontal="center" vertical="center" wrapText="1"/>
    </xf>
    <xf numFmtId="0" fontId="85" fillId="39" borderId="24" xfId="0" applyFont="1" applyFill="1" applyBorder="1" applyAlignment="1" applyProtection="1">
      <alignment horizontal="left" vertical="center" wrapText="1"/>
      <protection locked="0"/>
    </xf>
    <xf numFmtId="0" fontId="85" fillId="39" borderId="25" xfId="0" applyFont="1" applyFill="1" applyBorder="1" applyAlignment="1" applyProtection="1">
      <alignment horizontal="left" vertical="center" wrapText="1"/>
      <protection locked="0"/>
    </xf>
    <xf numFmtId="0" fontId="85" fillId="39" borderId="13" xfId="0" applyFont="1" applyFill="1" applyBorder="1" applyAlignment="1" applyProtection="1">
      <alignment horizontal="left" vertical="center" wrapText="1"/>
      <protection locked="0"/>
    </xf>
    <xf numFmtId="0" fontId="89" fillId="36" borderId="0" xfId="0" applyFont="1" applyFill="1" applyAlignment="1">
      <alignment horizontal="center" vertical="center"/>
    </xf>
    <xf numFmtId="0" fontId="82" fillId="49" borderId="24" xfId="0" applyFont="1" applyFill="1" applyBorder="1" applyAlignment="1">
      <alignment horizontal="center" vertical="center" wrapText="1"/>
    </xf>
    <xf numFmtId="0" fontId="82" fillId="49" borderId="25" xfId="0" applyFont="1" applyFill="1" applyBorder="1" applyAlignment="1">
      <alignment horizontal="center" vertical="center" wrapText="1"/>
    </xf>
    <xf numFmtId="0" fontId="82" fillId="49" borderId="13" xfId="0" applyFont="1" applyFill="1" applyBorder="1" applyAlignment="1">
      <alignment horizontal="center" vertical="center" wrapText="1"/>
    </xf>
    <xf numFmtId="0" fontId="112" fillId="50" borderId="0" xfId="0" applyFont="1" applyFill="1" applyAlignment="1">
      <alignment horizontal="left" vertical="center"/>
    </xf>
    <xf numFmtId="0" fontId="81" fillId="33" borderId="32" xfId="0" applyFont="1" applyFill="1" applyBorder="1" applyAlignment="1">
      <alignment horizontal="center" vertical="center" wrapText="1"/>
    </xf>
    <xf numFmtId="0" fontId="81" fillId="33" borderId="33" xfId="0" applyFont="1" applyFill="1" applyBorder="1" applyAlignment="1">
      <alignment horizontal="center" vertical="center" wrapText="1"/>
    </xf>
    <xf numFmtId="0" fontId="91" fillId="33" borderId="34" xfId="0" applyFont="1" applyFill="1" applyBorder="1" applyAlignment="1">
      <alignment horizontal="center" vertical="center" wrapText="1"/>
    </xf>
    <xf numFmtId="0" fontId="91" fillId="33" borderId="35" xfId="0" applyFont="1" applyFill="1" applyBorder="1" applyAlignment="1">
      <alignment horizontal="center" vertical="center" wrapText="1"/>
    </xf>
    <xf numFmtId="0" fontId="91" fillId="33" borderId="36" xfId="0" applyFont="1" applyFill="1" applyBorder="1" applyAlignment="1">
      <alignment horizontal="center" vertical="center" wrapText="1"/>
    </xf>
    <xf numFmtId="0" fontId="82" fillId="34" borderId="24" xfId="0" applyFont="1" applyFill="1" applyBorder="1" applyAlignment="1">
      <alignment horizontal="right" vertical="center" wrapText="1" indent="2"/>
    </xf>
    <xf numFmtId="0" fontId="82" fillId="34" borderId="25" xfId="0" applyFont="1" applyFill="1" applyBorder="1" applyAlignment="1">
      <alignment horizontal="right" vertical="center" wrapText="1" indent="2"/>
    </xf>
    <xf numFmtId="0" fontId="82" fillId="34" borderId="13" xfId="0" applyFont="1" applyFill="1" applyBorder="1" applyAlignment="1">
      <alignment horizontal="right" vertical="center" wrapText="1" indent="2"/>
    </xf>
    <xf numFmtId="0" fontId="98" fillId="0" borderId="34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98" fillId="0" borderId="37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84" fillId="42" borderId="0" xfId="0" applyFont="1" applyFill="1" applyAlignment="1">
      <alignment horizontal="center" vertical="center" wrapText="1"/>
    </xf>
    <xf numFmtId="0" fontId="9" fillId="42" borderId="0" xfId="0" applyFont="1" applyFill="1" applyAlignment="1">
      <alignment horizontal="center" vertical="center" wrapText="1"/>
    </xf>
    <xf numFmtId="0" fontId="82" fillId="39" borderId="24" xfId="0" applyFont="1" applyFill="1" applyBorder="1" applyAlignment="1" applyProtection="1">
      <alignment horizontal="left" vertical="center" wrapText="1"/>
      <protection locked="0"/>
    </xf>
    <xf numFmtId="0" fontId="82" fillId="39" borderId="25" xfId="0" applyFont="1" applyFill="1" applyBorder="1" applyAlignment="1" applyProtection="1">
      <alignment horizontal="left" vertical="center" wrapText="1"/>
      <protection locked="0"/>
    </xf>
    <xf numFmtId="0" fontId="82" fillId="39" borderId="13" xfId="0" applyFont="1" applyFill="1" applyBorder="1" applyAlignment="1" applyProtection="1">
      <alignment horizontal="left" vertical="center" wrapText="1"/>
      <protection locked="0"/>
    </xf>
    <xf numFmtId="0" fontId="78" fillId="0" borderId="0" xfId="0" applyFont="1" applyAlignment="1">
      <alignment horizontal="center" vertical="center" wrapText="1"/>
    </xf>
    <xf numFmtId="0" fontId="100" fillId="5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</xdr:rowOff>
    </xdr:from>
    <xdr:to>
      <xdr:col>8</xdr:col>
      <xdr:colOff>38100</xdr:colOff>
      <xdr:row>4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8100" y="876300"/>
          <a:ext cx="762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76200</xdr:rowOff>
    </xdr:from>
    <xdr:to>
      <xdr:col>0</xdr:col>
      <xdr:colOff>962025</xdr:colOff>
      <xdr:row>3</xdr:row>
      <xdr:rowOff>123825</xdr:rowOff>
    </xdr:to>
    <xdr:pic>
      <xdr:nvPicPr>
        <xdr:cNvPr id="2" name="Picture 4" descr="S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showRowColHeaders="0" tabSelected="1" zoomScalePageLayoutView="0" workbookViewId="0" topLeftCell="A1">
      <selection activeCell="A4" sqref="A4"/>
    </sheetView>
  </sheetViews>
  <sheetFormatPr defaultColWidth="9.140625" defaultRowHeight="15"/>
  <cols>
    <col min="1" max="1" width="132.28125" style="0" bestFit="1" customWidth="1"/>
    <col min="2" max="2" width="14.57421875" style="0" customWidth="1"/>
  </cols>
  <sheetData>
    <row r="1" spans="1:2" ht="18.75">
      <c r="A1" s="55" t="s">
        <v>210</v>
      </c>
      <c r="B1" s="56"/>
    </row>
    <row r="2" spans="1:2" ht="18.75">
      <c r="A2" s="74"/>
      <c r="B2" s="56"/>
    </row>
    <row r="3" spans="1:2" ht="18.75">
      <c r="A3" s="55" t="s">
        <v>211</v>
      </c>
      <c r="B3" s="56"/>
    </row>
    <row r="4" spans="1:2" ht="18.75">
      <c r="A4" s="74"/>
      <c r="B4" s="56"/>
    </row>
    <row r="5" spans="1:2" ht="18.75">
      <c r="A5" s="55" t="s">
        <v>207</v>
      </c>
      <c r="B5" s="56"/>
    </row>
    <row r="6" spans="1:2" ht="18.75">
      <c r="A6" s="74"/>
      <c r="B6" s="56"/>
    </row>
    <row r="7" spans="1:2" ht="18.75">
      <c r="A7" s="55" t="s">
        <v>215</v>
      </c>
      <c r="B7" s="56"/>
    </row>
    <row r="8" spans="1:2" ht="18.75">
      <c r="A8" s="74"/>
      <c r="B8" s="56"/>
    </row>
    <row r="9" spans="1:2" ht="18.75">
      <c r="A9" s="55" t="s">
        <v>77</v>
      </c>
      <c r="B9" s="75">
        <v>2019</v>
      </c>
    </row>
    <row r="10" spans="1:2" ht="18.75">
      <c r="A10" s="55" t="s">
        <v>208</v>
      </c>
      <c r="B10" s="75"/>
    </row>
    <row r="11" spans="1:2" ht="18.75">
      <c r="A11" s="55" t="s">
        <v>81</v>
      </c>
      <c r="B11" s="76"/>
    </row>
    <row r="12" spans="1:2" ht="18.75">
      <c r="A12" s="55" t="s">
        <v>209</v>
      </c>
      <c r="B12" s="75"/>
    </row>
  </sheetData>
  <sheetProtection password="CC5A" sheet="1" selectLockedCells="1"/>
  <dataValidations count="6">
    <dataValidation type="list" allowBlank="1" showInputMessage="1" showErrorMessage="1" sqref="B9">
      <formula1>"2018,2019,2020,2021,2022"</formula1>
    </dataValidation>
    <dataValidation type="list" allowBlank="1" showInputMessage="1" showErrorMessage="1" sqref="B10">
      <formula1>"3,5"</formula1>
    </dataValidation>
    <dataValidation type="list" allowBlank="1" showInputMessage="1" showErrorMessage="1" sqref="B12">
      <formula1>"Да, Не"</formula1>
    </dataValidation>
    <dataValidation type="list" allowBlank="1" showInputMessage="1" showErrorMessage="1" sqref="A8">
      <formula1>razdel62f</formula1>
    </dataValidation>
    <dataValidation type="list" allowBlank="1" showInputMessage="1" showErrorMessage="1" sqref="A2">
      <formula1>Fakultet</formula1>
    </dataValidation>
    <dataValidation type="list" allowBlank="1" showInputMessage="1" showErrorMessage="1" sqref="A4">
      <formula1>INDIRECT(VLOOKUP(A2,katedri2,2,FALSE))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1"/>
  <sheetViews>
    <sheetView showGridLines="0" workbookViewId="0" topLeftCell="A324">
      <selection activeCell="D328" sqref="D328:G328"/>
    </sheetView>
  </sheetViews>
  <sheetFormatPr defaultColWidth="9.140625" defaultRowHeight="15"/>
  <cols>
    <col min="1" max="1" width="19.00390625" style="0" customWidth="1"/>
    <col min="2" max="3" width="14.57421875" style="0" customWidth="1"/>
    <col min="4" max="4" width="13.7109375" style="0" customWidth="1"/>
    <col min="5" max="5" width="16.7109375" style="0" customWidth="1"/>
    <col min="7" max="7" width="11.00390625" style="0" customWidth="1"/>
    <col min="8" max="8" width="15.7109375" style="0" customWidth="1"/>
  </cols>
  <sheetData>
    <row r="1" spans="2:8" ht="23.25" customHeight="1">
      <c r="B1" s="294" t="s">
        <v>0</v>
      </c>
      <c r="C1" s="295"/>
      <c r="D1" s="295"/>
      <c r="E1" s="295"/>
      <c r="F1" s="295"/>
      <c r="G1" s="295"/>
      <c r="H1" s="295"/>
    </row>
    <row r="2" spans="2:8" ht="15">
      <c r="B2" s="264" t="str">
        <f>IF(Настройка!A2&lt;&gt;0,Настройка!A2,"Факултет: "" …………………………………………. """)</f>
        <v>Факултет: " …………………………………………. "</v>
      </c>
      <c r="C2" s="264"/>
      <c r="D2" s="264"/>
      <c r="E2" s="264"/>
      <c r="F2" s="264"/>
      <c r="G2" s="264"/>
      <c r="H2" s="264"/>
    </row>
    <row r="3" spans="2:8" ht="15">
      <c r="B3" s="264" t="str">
        <f>IF(Настройка!A4&lt;&gt;0,Настройка!A4,"Катедра: ""…………………………………………………..""")</f>
        <v>Катедра: "………………………………………………….."</v>
      </c>
      <c r="C3" s="264"/>
      <c r="D3" s="264"/>
      <c r="E3" s="264"/>
      <c r="F3" s="264"/>
      <c r="G3" s="264"/>
      <c r="H3" s="264"/>
    </row>
    <row r="11" ht="15">
      <c r="A11" s="6"/>
    </row>
    <row r="13" spans="1:8" ht="39.75">
      <c r="A13" s="265" t="s">
        <v>74</v>
      </c>
      <c r="B13" s="265"/>
      <c r="C13" s="265"/>
      <c r="D13" s="265"/>
      <c r="E13" s="265"/>
      <c r="F13" s="265"/>
      <c r="G13" s="265"/>
      <c r="H13" s="265"/>
    </row>
    <row r="14" spans="1:8" ht="39.75">
      <c r="A14" s="266" t="s">
        <v>75</v>
      </c>
      <c r="B14" s="266"/>
      <c r="C14" s="266"/>
      <c r="D14" s="266"/>
      <c r="E14" s="266"/>
      <c r="F14" s="266"/>
      <c r="G14" s="266"/>
      <c r="H14" s="266"/>
    </row>
    <row r="16" spans="4:11" ht="21.75" customHeight="1">
      <c r="D16" s="53" t="s">
        <v>206</v>
      </c>
      <c r="E16" s="52"/>
      <c r="F16" s="52"/>
      <c r="G16" s="52"/>
      <c r="H16" s="52"/>
      <c r="I16" s="52"/>
      <c r="J16" s="52"/>
      <c r="K16" s="52"/>
    </row>
    <row r="18" spans="1:8" ht="30">
      <c r="A18" s="267" t="str">
        <f>IF(Настройка!A6&lt;&gt;"",Настройка!A6,"(звание, степен, име презиме и фамилия)")</f>
        <v>(звание, степен, име презиме и фамилия)</v>
      </c>
      <c r="B18" s="267"/>
      <c r="C18" s="267"/>
      <c r="D18" s="267"/>
      <c r="E18" s="267"/>
      <c r="F18" s="267"/>
      <c r="G18" s="267"/>
      <c r="H18" s="267"/>
    </row>
    <row r="19" spans="1:8" ht="15">
      <c r="A19" s="204"/>
      <c r="B19" s="204"/>
      <c r="C19" s="204"/>
      <c r="D19" s="204"/>
      <c r="E19" s="204"/>
      <c r="F19" s="204"/>
      <c r="G19" s="204"/>
      <c r="H19" s="204"/>
    </row>
    <row r="30" spans="1:8" ht="53.25" customHeight="1">
      <c r="A30" s="271" t="str">
        <f>"Настоящият индивидуален атестационен отчет е изготвен въз основа на заповед на Ректора на СА „Д. А. Ценов” №"&amp;Настройка!B11</f>
        <v>Настоящият индивидуален атестационен отчет е изготвен въз основа на заповед на Ректора на СА „Д. А. Ценов” №</v>
      </c>
      <c r="B30" s="271"/>
      <c r="C30" s="271"/>
      <c r="D30" s="271"/>
      <c r="E30" s="271"/>
      <c r="F30" s="271"/>
      <c r="G30" s="271"/>
      <c r="H30" s="271"/>
    </row>
    <row r="35" spans="1:8" ht="27" customHeight="1">
      <c r="A35" s="277" t="s">
        <v>76</v>
      </c>
      <c r="B35" s="228" t="s">
        <v>1</v>
      </c>
      <c r="C35" s="228"/>
      <c r="D35" s="228"/>
      <c r="E35" s="228"/>
      <c r="F35" s="228"/>
      <c r="G35" s="228"/>
      <c r="H35" s="228"/>
    </row>
    <row r="36" spans="1:8" ht="15" customHeight="1">
      <c r="A36" s="277"/>
      <c r="B36" s="228"/>
      <c r="C36" s="228"/>
      <c r="D36" s="228"/>
      <c r="E36" s="228"/>
      <c r="F36" s="228"/>
      <c r="G36" s="228"/>
      <c r="H36" s="228"/>
    </row>
    <row r="37" spans="1:8" ht="15" customHeight="1">
      <c r="A37" s="94"/>
      <c r="B37" s="95"/>
      <c r="C37" s="95"/>
      <c r="D37" s="95"/>
      <c r="E37" s="95"/>
      <c r="F37" s="95"/>
      <c r="G37" s="95"/>
      <c r="H37" s="95"/>
    </row>
    <row r="38" spans="1:8" ht="25.5">
      <c r="A38" s="281" t="s">
        <v>2</v>
      </c>
      <c r="B38" s="281"/>
      <c r="C38" s="281"/>
      <c r="D38" s="281"/>
      <c r="E38" s="281"/>
      <c r="F38" s="281"/>
      <c r="G38" s="281"/>
      <c r="H38" s="281"/>
    </row>
    <row r="39" spans="1:8" s="60" customFormat="1" ht="13.5" customHeight="1">
      <c r="A39" s="88"/>
      <c r="B39" s="88"/>
      <c r="C39" s="88"/>
      <c r="D39" s="88"/>
      <c r="E39" s="88"/>
      <c r="F39" s="88"/>
      <c r="G39" s="88"/>
      <c r="H39" s="88"/>
    </row>
    <row r="40" spans="1:8" s="60" customFormat="1" ht="27" customHeight="1">
      <c r="A40" s="89" t="s">
        <v>248</v>
      </c>
      <c r="B40" s="296" t="s">
        <v>249</v>
      </c>
      <c r="C40" s="296"/>
      <c r="D40" s="296"/>
      <c r="E40" s="296"/>
      <c r="F40" s="296"/>
      <c r="G40" s="296"/>
      <c r="H40" s="296"/>
    </row>
    <row r="41" ht="14.25" customHeight="1"/>
    <row r="42" spans="1:9" ht="18.75" customHeight="1">
      <c r="A42" s="227" t="s">
        <v>255</v>
      </c>
      <c r="B42" s="160" t="s">
        <v>293</v>
      </c>
      <c r="C42" s="227"/>
      <c r="D42" s="227"/>
      <c r="E42" s="227"/>
      <c r="F42" s="227"/>
      <c r="G42" s="227"/>
      <c r="H42" s="227"/>
      <c r="I42" s="7"/>
    </row>
    <row r="43" spans="1:9" ht="36" customHeight="1">
      <c r="A43" s="227"/>
      <c r="B43" s="227"/>
      <c r="C43" s="227"/>
      <c r="D43" s="227"/>
      <c r="E43" s="227"/>
      <c r="F43" s="227"/>
      <c r="G43" s="227"/>
      <c r="H43" s="227"/>
      <c r="I43" s="7"/>
    </row>
    <row r="44" spans="4:5" ht="14.25" customHeight="1" thickBot="1">
      <c r="D44" s="272"/>
      <c r="E44" s="272"/>
    </row>
    <row r="45" spans="1:8" ht="44.25" customHeight="1" thickBot="1">
      <c r="A45" s="83" t="s">
        <v>3</v>
      </c>
      <c r="B45" s="83" t="s">
        <v>4</v>
      </c>
      <c r="C45" s="83" t="s">
        <v>5</v>
      </c>
      <c r="D45" s="268" t="s">
        <v>6</v>
      </c>
      <c r="E45" s="268"/>
      <c r="F45" s="268" t="s">
        <v>7</v>
      </c>
      <c r="G45" s="268"/>
      <c r="H45" s="268"/>
    </row>
    <row r="46" spans="1:8" ht="15.75" thickBot="1">
      <c r="A46" s="199" t="str">
        <f>"Учебна "&amp;Настройка!B9-3&amp;"/"&amp;TEXT((Настройка!B9-2),0)&amp;" год."</f>
        <v>Учебна 2016/2017 год.</v>
      </c>
      <c r="B46" s="199"/>
      <c r="C46" s="199"/>
      <c r="D46" s="199"/>
      <c r="E46" s="199"/>
      <c r="F46" s="199"/>
      <c r="G46" s="199"/>
      <c r="H46" s="199"/>
    </row>
    <row r="47" spans="1:8" ht="15.75" thickBot="1">
      <c r="A47" s="54" t="s">
        <v>8</v>
      </c>
      <c r="B47" s="137"/>
      <c r="C47" s="137"/>
      <c r="D47" s="205">
        <f>IF(C47&gt;0,ROUND(B47/C47,2),0)</f>
        <v>0</v>
      </c>
      <c r="E47" s="205"/>
      <c r="F47" s="206">
        <f>IF(B47&gt;0,VLOOKUP(D47,tablica311,2,TRUE),0)</f>
        <v>0</v>
      </c>
      <c r="G47" s="206"/>
      <c r="H47" s="206"/>
    </row>
    <row r="48" spans="1:8" ht="15.75" thickBot="1">
      <c r="A48" s="54" t="s">
        <v>9</v>
      </c>
      <c r="B48" s="137"/>
      <c r="C48" s="137"/>
      <c r="D48" s="205">
        <f>IF(C48&gt;0,ROUND(B48/C48,2),0)</f>
        <v>0</v>
      </c>
      <c r="E48" s="205"/>
      <c r="F48" s="206">
        <f>IF(B48&gt;0,VLOOKUP(D48,tablica311,2,TRUE),0)</f>
        <v>0</v>
      </c>
      <c r="G48" s="206"/>
      <c r="H48" s="206"/>
    </row>
    <row r="49" spans="1:8" ht="15.75" customHeight="1" thickBot="1">
      <c r="A49" s="201" t="s">
        <v>244</v>
      </c>
      <c r="B49" s="202"/>
      <c r="C49" s="202"/>
      <c r="D49" s="202"/>
      <c r="E49" s="203"/>
      <c r="F49" s="200">
        <f>ROUND((F47+F48)/2,1)</f>
        <v>0</v>
      </c>
      <c r="G49" s="200"/>
      <c r="H49" s="200"/>
    </row>
    <row r="50" spans="1:8" ht="15.75" customHeight="1" thickBot="1">
      <c r="A50" s="199" t="str">
        <f>"Учебна "&amp;Настройка!B9-2&amp;"/"&amp;TEXT((Настройка!B9-1),0)&amp;" год."</f>
        <v>Учебна 2017/2018 год.</v>
      </c>
      <c r="B50" s="199"/>
      <c r="C50" s="199"/>
      <c r="D50" s="199"/>
      <c r="E50" s="199"/>
      <c r="F50" s="199"/>
      <c r="G50" s="199"/>
      <c r="H50" s="199"/>
    </row>
    <row r="51" spans="1:8" ht="15.75" thickBot="1">
      <c r="A51" s="54" t="s">
        <v>377</v>
      </c>
      <c r="B51" s="137"/>
      <c r="C51" s="137"/>
      <c r="D51" s="205">
        <f>IF(C51&gt;0,ROUND(B51/C51,2),0)</f>
        <v>0</v>
      </c>
      <c r="E51" s="205"/>
      <c r="F51" s="206">
        <f>IF(B51&gt;0,VLOOKUP(D51,tablica311,2,TRUE),0)</f>
        <v>0</v>
      </c>
      <c r="G51" s="206"/>
      <c r="H51" s="206"/>
    </row>
    <row r="52" spans="1:8" ht="15.75" customHeight="1" thickBot="1">
      <c r="A52" s="199" t="str">
        <f>"Учебна "&amp;Настройка!B9-1&amp;"/"&amp;TEXT((Настройка!B9),0)&amp;" год."</f>
        <v>Учебна 2018/2019 год.</v>
      </c>
      <c r="B52" s="199"/>
      <c r="C52" s="199"/>
      <c r="D52" s="199"/>
      <c r="E52" s="199"/>
      <c r="F52" s="199"/>
      <c r="G52" s="199"/>
      <c r="H52" s="199"/>
    </row>
    <row r="53" spans="1:8" ht="15.75" thickBot="1">
      <c r="A53" s="54" t="s">
        <v>377</v>
      </c>
      <c r="B53" s="137"/>
      <c r="C53" s="137"/>
      <c r="D53" s="205">
        <f>IF(C53&gt;0,ROUND(B53/C53,2),0)</f>
        <v>0</v>
      </c>
      <c r="E53" s="205"/>
      <c r="F53" s="206">
        <f>IF(B53&gt;0,VLOOKUP(D53,tablica311,2,TRUE),0)</f>
        <v>0</v>
      </c>
      <c r="G53" s="206"/>
      <c r="H53" s="206"/>
    </row>
    <row r="54" spans="1:8" ht="15.75" customHeight="1" thickBot="1">
      <c r="A54" s="168" t="s">
        <v>10</v>
      </c>
      <c r="B54" s="168"/>
      <c r="C54" s="168"/>
      <c r="D54" s="168"/>
      <c r="E54" s="168"/>
      <c r="F54" s="200">
        <f>F49+F51+F53</f>
        <v>0</v>
      </c>
      <c r="G54" s="200" t="e">
        <f>F49+#REF!+#REF!</f>
        <v>#REF!</v>
      </c>
      <c r="H54" s="200"/>
    </row>
    <row r="55" spans="1:8" ht="15.75" customHeight="1" thickBot="1">
      <c r="A55" s="168" t="s">
        <v>11</v>
      </c>
      <c r="B55" s="168"/>
      <c r="C55" s="168"/>
      <c r="D55" s="168"/>
      <c r="E55" s="168"/>
      <c r="F55" s="273">
        <v>3</v>
      </c>
      <c r="G55" s="273">
        <v>3</v>
      </c>
      <c r="H55" s="273"/>
    </row>
    <row r="56" spans="1:8" ht="15.75" thickBot="1">
      <c r="A56" s="168" t="s">
        <v>285</v>
      </c>
      <c r="B56" s="168"/>
      <c r="C56" s="168"/>
      <c r="D56" s="168"/>
      <c r="E56" s="168"/>
      <c r="F56" s="200">
        <f>ROUND(F54/F55,1)</f>
        <v>0</v>
      </c>
      <c r="G56" s="200" t="e">
        <f>G54/G55</f>
        <v>#REF!</v>
      </c>
      <c r="H56" s="200"/>
    </row>
    <row r="61" spans="1:8" ht="15" customHeight="1">
      <c r="A61" s="227" t="s">
        <v>254</v>
      </c>
      <c r="B61" s="160" t="s">
        <v>292</v>
      </c>
      <c r="C61" s="227"/>
      <c r="D61" s="227"/>
      <c r="E61" s="227"/>
      <c r="F61" s="227"/>
      <c r="G61" s="227"/>
      <c r="H61" s="227"/>
    </row>
    <row r="62" spans="1:8" ht="15" customHeight="1">
      <c r="A62" s="263"/>
      <c r="B62" s="227"/>
      <c r="C62" s="227"/>
      <c r="D62" s="227"/>
      <c r="E62" s="227"/>
      <c r="F62" s="227"/>
      <c r="G62" s="227"/>
      <c r="H62" s="227"/>
    </row>
    <row r="63" spans="1:8" ht="50.25" customHeight="1">
      <c r="A63" s="263"/>
      <c r="B63" s="227"/>
      <c r="C63" s="227"/>
      <c r="D63" s="227"/>
      <c r="E63" s="227"/>
      <c r="F63" s="227"/>
      <c r="G63" s="227"/>
      <c r="H63" s="227"/>
    </row>
    <row r="64" ht="15.75" thickBot="1"/>
    <row r="65" spans="1:8" ht="15.75" thickBot="1">
      <c r="A65" s="249" t="s">
        <v>12</v>
      </c>
      <c r="B65" s="250"/>
      <c r="C65" s="282" t="s">
        <v>238</v>
      </c>
      <c r="D65" s="282" t="s">
        <v>331</v>
      </c>
      <c r="E65" s="282" t="s">
        <v>82</v>
      </c>
      <c r="F65" s="247" t="s">
        <v>93</v>
      </c>
      <c r="G65" s="248"/>
      <c r="H65" s="269" t="s">
        <v>13</v>
      </c>
    </row>
    <row r="66" spans="1:8" ht="21.75" customHeight="1" thickBot="1">
      <c r="A66" s="251"/>
      <c r="B66" s="252"/>
      <c r="C66" s="283"/>
      <c r="D66" s="283"/>
      <c r="E66" s="283"/>
      <c r="F66" s="82" t="s">
        <v>83</v>
      </c>
      <c r="G66" s="82" t="s">
        <v>110</v>
      </c>
      <c r="H66" s="270"/>
    </row>
    <row r="67" spans="1:8" ht="15.75" customHeight="1" thickBot="1">
      <c r="A67" s="278" t="str">
        <f>"Учебни  "&amp;Настройка!B9-3&amp;"/"&amp;TEXT((Настройка!B9-2),0)&amp;", "&amp;Настройка!B9-2&amp;"/"&amp;TEXT((Настройка!B9-1),0)&amp;", "&amp;Настройка!B9-1&amp;"/"&amp;TEXT((Настройка!B9),0)&amp;" год."</f>
        <v>Учебни  2016/2017, 2017/2018, 2018/2019 год.</v>
      </c>
      <c r="B67" s="279"/>
      <c r="C67" s="279"/>
      <c r="D67" s="279"/>
      <c r="E67" s="279"/>
      <c r="F67" s="279"/>
      <c r="G67" s="279"/>
      <c r="H67" s="280"/>
    </row>
    <row r="68" spans="1:8" ht="15.75" thickBot="1">
      <c r="A68" s="149"/>
      <c r="B68" s="151"/>
      <c r="C68" s="64"/>
      <c r="D68" s="64"/>
      <c r="E68" s="15">
        <f>IF(C68="Да",2,0)+IF(D68="Да",2,0)</f>
        <v>0</v>
      </c>
      <c r="F68" s="64"/>
      <c r="G68" s="115">
        <f>IF(F68&lt;&gt;"",VLOOKUP(F68,tablica312b,2,FALSE),0)</f>
        <v>0</v>
      </c>
      <c r="H68" s="116">
        <f>E68*G68</f>
        <v>0</v>
      </c>
    </row>
    <row r="69" spans="1:8" ht="15.75" thickBot="1">
      <c r="A69" s="149"/>
      <c r="B69" s="151"/>
      <c r="C69" s="64"/>
      <c r="D69" s="64"/>
      <c r="E69" s="15">
        <f>IF(C69="Да",2,0)+IF(D69="Да",2,0)</f>
        <v>0</v>
      </c>
      <c r="F69" s="64"/>
      <c r="G69" s="115">
        <f>IF(F69&lt;&gt;"",VLOOKUP(F69,tablica312b,2,FALSE),0)</f>
        <v>0</v>
      </c>
      <c r="H69" s="116">
        <f>E69*G69</f>
        <v>0</v>
      </c>
    </row>
    <row r="70" spans="1:8" ht="15.75" thickBot="1">
      <c r="A70" s="149"/>
      <c r="B70" s="151"/>
      <c r="C70" s="64"/>
      <c r="D70" s="64"/>
      <c r="E70" s="15">
        <f>IF(C70="Да",2,0)+IF(D70="Да",2,0)</f>
        <v>0</v>
      </c>
      <c r="F70" s="64"/>
      <c r="G70" s="115">
        <f>IF(F70&lt;&gt;"",VLOOKUP(F70,tablica312b,2,FALSE),0)</f>
        <v>0</v>
      </c>
      <c r="H70" s="116">
        <f>E70*G70</f>
        <v>0</v>
      </c>
    </row>
    <row r="71" spans="1:8" ht="15.75" thickBot="1">
      <c r="A71" s="149"/>
      <c r="B71" s="151"/>
      <c r="C71" s="64"/>
      <c r="D71" s="64"/>
      <c r="E71" s="15">
        <f>IF(C71="Да",2,0)+IF(D71="Да",2,0)</f>
        <v>0</v>
      </c>
      <c r="F71" s="64"/>
      <c r="G71" s="115">
        <f>IF(F71&lt;&gt;"",VLOOKUP(F71,tablica312b,2,FALSE),0)</f>
        <v>0</v>
      </c>
      <c r="H71" s="116">
        <f>E71*G71</f>
        <v>0</v>
      </c>
    </row>
    <row r="72" spans="1:8" ht="15.75" customHeight="1" thickBot="1">
      <c r="A72" s="260" t="s">
        <v>111</v>
      </c>
      <c r="B72" s="261"/>
      <c r="C72" s="261"/>
      <c r="D72" s="261"/>
      <c r="E72" s="261"/>
      <c r="F72" s="261"/>
      <c r="G72" s="262"/>
      <c r="H72" s="117">
        <f>H68+H69+H70+H71</f>
        <v>0</v>
      </c>
    </row>
    <row r="73" spans="1:8" ht="15.75" thickBot="1">
      <c r="A73" s="236" t="s">
        <v>330</v>
      </c>
      <c r="B73" s="237"/>
      <c r="C73" s="237"/>
      <c r="D73" s="237"/>
      <c r="E73" s="237"/>
      <c r="F73" s="237"/>
      <c r="G73" s="238"/>
      <c r="H73" s="119">
        <f>IF(H72&lt;=8,H72,8)</f>
        <v>0</v>
      </c>
    </row>
    <row r="74" ht="15.75" thickBot="1"/>
    <row r="75" spans="1:8" ht="19.5" customHeight="1" thickBot="1">
      <c r="A75" s="254" t="s">
        <v>243</v>
      </c>
      <c r="B75" s="255"/>
      <c r="C75" s="255"/>
      <c r="D75" s="255"/>
      <c r="E75" s="255"/>
      <c r="F75" s="255"/>
      <c r="G75" s="256"/>
      <c r="H75" s="119">
        <f>ROUND((F56+H73)/2,1)</f>
        <v>0</v>
      </c>
    </row>
    <row r="76" spans="1:8" s="60" customFormat="1" ht="15" customHeight="1">
      <c r="A76" s="62"/>
      <c r="B76" s="62"/>
      <c r="C76" s="62"/>
      <c r="D76" s="62"/>
      <c r="E76" s="62"/>
      <c r="F76" s="62"/>
      <c r="G76" s="62"/>
      <c r="H76" s="63"/>
    </row>
    <row r="77" spans="1:8" s="60" customFormat="1" ht="15" customHeight="1">
      <c r="A77" s="62"/>
      <c r="B77" s="62"/>
      <c r="C77" s="62"/>
      <c r="D77" s="62"/>
      <c r="E77" s="62"/>
      <c r="F77" s="62"/>
      <c r="G77" s="62"/>
      <c r="H77" s="63"/>
    </row>
    <row r="78" spans="1:8" s="60" customFormat="1" ht="15" customHeight="1">
      <c r="A78" s="62"/>
      <c r="B78" s="62"/>
      <c r="C78" s="62"/>
      <c r="D78" s="62"/>
      <c r="E78" s="62"/>
      <c r="F78" s="62"/>
      <c r="G78" s="62"/>
      <c r="H78" s="63"/>
    </row>
    <row r="79" spans="1:8" ht="43.5" customHeight="1">
      <c r="A79" s="89" t="s">
        <v>246</v>
      </c>
      <c r="B79" s="296" t="s">
        <v>247</v>
      </c>
      <c r="C79" s="296"/>
      <c r="D79" s="296"/>
      <c r="E79" s="296"/>
      <c r="F79" s="296"/>
      <c r="G79" s="296"/>
      <c r="H79" s="296"/>
    </row>
    <row r="81" spans="1:8" ht="31.5">
      <c r="A81" s="90" t="s">
        <v>291</v>
      </c>
      <c r="B81" s="160" t="s">
        <v>283</v>
      </c>
      <c r="C81" s="301"/>
      <c r="D81" s="301"/>
      <c r="E81" s="301"/>
      <c r="F81" s="301"/>
      <c r="G81" s="301"/>
      <c r="H81" s="301"/>
    </row>
    <row r="82" ht="15.75" thickBot="1"/>
    <row r="83" spans="1:8" ht="43.5" customHeight="1" thickBot="1">
      <c r="A83" s="156" t="s">
        <v>130</v>
      </c>
      <c r="B83" s="158"/>
      <c r="C83" s="80" t="s">
        <v>239</v>
      </c>
      <c r="D83" s="80" t="s">
        <v>131</v>
      </c>
      <c r="E83" s="81" t="s">
        <v>132</v>
      </c>
      <c r="F83" s="80" t="s">
        <v>133</v>
      </c>
      <c r="G83" s="82" t="s">
        <v>224</v>
      </c>
      <c r="H83" s="81" t="s">
        <v>134</v>
      </c>
    </row>
    <row r="84" spans="1:8" ht="15.75" customHeight="1" thickBot="1">
      <c r="A84" s="207"/>
      <c r="B84" s="209"/>
      <c r="C84" s="65"/>
      <c r="D84" s="66"/>
      <c r="E84" s="31">
        <f>IF(D84&gt;0,ROUND(C84/D84,2),0)</f>
        <v>0</v>
      </c>
      <c r="F84" s="66"/>
      <c r="G84" s="67"/>
      <c r="H84" s="31">
        <f>E84*IF($F$88&lt;&gt;0,ROUND(F84/$F$88,2),0)</f>
        <v>0</v>
      </c>
    </row>
    <row r="85" spans="1:8" ht="15.75" thickBot="1">
      <c r="A85" s="207"/>
      <c r="B85" s="209"/>
      <c r="C85" s="65"/>
      <c r="D85" s="66"/>
      <c r="E85" s="31">
        <f>IF(D85&gt;0,ROUND(C85/D85,2),0)</f>
        <v>0</v>
      </c>
      <c r="F85" s="66"/>
      <c r="G85" s="67"/>
      <c r="H85" s="31">
        <f>E85*IF($F$88&lt;&gt;0,ROUND(F85/$F$88,2),0)</f>
        <v>0</v>
      </c>
    </row>
    <row r="86" spans="1:8" ht="15.75" thickBot="1">
      <c r="A86" s="207"/>
      <c r="B86" s="209"/>
      <c r="C86" s="65"/>
      <c r="D86" s="66"/>
      <c r="E86" s="31">
        <f>IF(D86&gt;0,ROUND(C86/D86,2),0)</f>
        <v>0</v>
      </c>
      <c r="F86" s="66"/>
      <c r="G86" s="67"/>
      <c r="H86" s="31">
        <f>E86*IF($F$88&lt;&gt;0,ROUND(F86/$F$88,2),0)</f>
        <v>0</v>
      </c>
    </row>
    <row r="87" spans="1:8" ht="15.75" thickBot="1">
      <c r="A87" s="207"/>
      <c r="B87" s="209"/>
      <c r="C87" s="65"/>
      <c r="D87" s="66"/>
      <c r="E87" s="31">
        <f>IF(D87&gt;0,ROUND(C87/D87,2),0)</f>
        <v>0</v>
      </c>
      <c r="F87" s="66"/>
      <c r="G87" s="67"/>
      <c r="H87" s="31">
        <f>E87*IF($F$88&lt;&gt;0,ROUND(F87/$F$88,2),0)</f>
        <v>0</v>
      </c>
    </row>
    <row r="88" spans="1:8" ht="15.75" thickBot="1">
      <c r="A88" s="153" t="s">
        <v>135</v>
      </c>
      <c r="B88" s="154"/>
      <c r="C88" s="154"/>
      <c r="D88" s="154"/>
      <c r="E88" s="155"/>
      <c r="F88" s="30">
        <f>SUM(F84:F87)</f>
        <v>0</v>
      </c>
      <c r="G88" s="30">
        <f>SUM(G84:G87)</f>
        <v>0</v>
      </c>
      <c r="H88" s="32">
        <f>SUM(H84:H87)</f>
        <v>0</v>
      </c>
    </row>
    <row r="89" spans="1:8" ht="15.75" thickBot="1">
      <c r="A89" s="236" t="s">
        <v>233</v>
      </c>
      <c r="B89" s="237"/>
      <c r="C89" s="237"/>
      <c r="D89" s="237"/>
      <c r="E89" s="237"/>
      <c r="F89" s="237"/>
      <c r="G89" s="238"/>
      <c r="H89" s="118">
        <f>VLOOKUP(H88,tablica361,2,TRUE)</f>
        <v>0</v>
      </c>
    </row>
    <row r="91" spans="1:8" ht="63" customHeight="1">
      <c r="A91" s="104" t="s">
        <v>310</v>
      </c>
      <c r="B91" s="159" t="s">
        <v>345</v>
      </c>
      <c r="C91" s="159"/>
      <c r="D91" s="159"/>
      <c r="E91" s="159"/>
      <c r="F91" s="159"/>
      <c r="G91" s="159"/>
      <c r="H91" s="159"/>
    </row>
    <row r="92" ht="15.75" thickBot="1"/>
    <row r="93" spans="1:8" ht="18" customHeight="1" thickBot="1">
      <c r="A93" s="236" t="s">
        <v>242</v>
      </c>
      <c r="B93" s="237"/>
      <c r="C93" s="237"/>
      <c r="D93" s="237"/>
      <c r="E93" s="237"/>
      <c r="F93" s="237"/>
      <c r="G93" s="238"/>
      <c r="H93" s="119">
        <f>IF(COUNTIF(G84:G87,"Да")&gt;0,2,0)+(H89)</f>
        <v>0</v>
      </c>
    </row>
    <row r="94" spans="1:8" ht="15" customHeight="1">
      <c r="A94" s="73"/>
      <c r="B94" s="73"/>
      <c r="C94" s="73"/>
      <c r="D94" s="73"/>
      <c r="E94" s="73"/>
      <c r="F94" s="73"/>
      <c r="G94" s="73"/>
      <c r="H94" s="63"/>
    </row>
    <row r="96" spans="1:8" ht="42" customHeight="1">
      <c r="A96" s="89" t="s">
        <v>250</v>
      </c>
      <c r="B96" s="297" t="s">
        <v>251</v>
      </c>
      <c r="C96" s="297"/>
      <c r="D96" s="297"/>
      <c r="E96" s="297"/>
      <c r="F96" s="297"/>
      <c r="G96" s="297"/>
      <c r="H96" s="297"/>
    </row>
    <row r="97" spans="1:8" ht="15" customHeight="1">
      <c r="A97" s="103"/>
      <c r="B97" s="93"/>
      <c r="C97" s="93"/>
      <c r="D97" s="93"/>
      <c r="E97" s="93"/>
      <c r="F97" s="93"/>
      <c r="G97" s="93"/>
      <c r="H97" s="93"/>
    </row>
    <row r="98" spans="1:8" ht="15">
      <c r="A98" s="227" t="s">
        <v>256</v>
      </c>
      <c r="B98" s="160" t="s">
        <v>332</v>
      </c>
      <c r="C98" s="227"/>
      <c r="D98" s="227"/>
      <c r="E98" s="227"/>
      <c r="F98" s="227"/>
      <c r="G98" s="227"/>
      <c r="H98" s="227"/>
    </row>
    <row r="99" spans="1:8" ht="15">
      <c r="A99" s="263"/>
      <c r="B99" s="227"/>
      <c r="C99" s="227"/>
      <c r="D99" s="227"/>
      <c r="E99" s="227"/>
      <c r="F99" s="227"/>
      <c r="G99" s="227"/>
      <c r="H99" s="227"/>
    </row>
    <row r="100" spans="1:8" ht="26.25" customHeight="1">
      <c r="A100" s="263"/>
      <c r="B100" s="227"/>
      <c r="C100" s="227"/>
      <c r="D100" s="227"/>
      <c r="E100" s="227"/>
      <c r="F100" s="227"/>
      <c r="G100" s="227"/>
      <c r="H100" s="227"/>
    </row>
    <row r="101" ht="15.75" thickBot="1"/>
    <row r="102" spans="1:8" ht="39" customHeight="1" thickBot="1">
      <c r="A102" s="284" t="s">
        <v>311</v>
      </c>
      <c r="B102" s="285"/>
      <c r="C102" s="285"/>
      <c r="D102" s="285"/>
      <c r="E102" s="285"/>
      <c r="F102" s="285"/>
      <c r="G102" s="286"/>
      <c r="H102" s="2" t="s">
        <v>235</v>
      </c>
    </row>
    <row r="103" spans="1:8" ht="15.75" thickBot="1">
      <c r="A103" s="274"/>
      <c r="B103" s="275"/>
      <c r="C103" s="275"/>
      <c r="D103" s="275"/>
      <c r="E103" s="275"/>
      <c r="F103" s="275"/>
      <c r="G103" s="276"/>
      <c r="H103" s="68"/>
    </row>
    <row r="104" spans="1:8" ht="15.75" thickBot="1">
      <c r="A104" s="274"/>
      <c r="B104" s="275"/>
      <c r="C104" s="275"/>
      <c r="D104" s="275"/>
      <c r="E104" s="275"/>
      <c r="F104" s="275"/>
      <c r="G104" s="276"/>
      <c r="H104" s="68"/>
    </row>
    <row r="105" spans="1:8" ht="15.75" thickBot="1">
      <c r="A105" s="274"/>
      <c r="B105" s="275"/>
      <c r="C105" s="275"/>
      <c r="D105" s="275"/>
      <c r="E105" s="275"/>
      <c r="F105" s="275"/>
      <c r="G105" s="276"/>
      <c r="H105" s="68"/>
    </row>
    <row r="106" spans="1:8" ht="15.75" thickBot="1">
      <c r="A106" s="274"/>
      <c r="B106" s="275"/>
      <c r="C106" s="275"/>
      <c r="D106" s="275"/>
      <c r="E106" s="275"/>
      <c r="F106" s="275"/>
      <c r="G106" s="276"/>
      <c r="H106" s="68"/>
    </row>
    <row r="107" spans="1:8" ht="15" customHeight="1" thickBot="1">
      <c r="A107" s="257" t="s">
        <v>219</v>
      </c>
      <c r="B107" s="258"/>
      <c r="C107" s="258"/>
      <c r="D107" s="258"/>
      <c r="E107" s="258"/>
      <c r="F107" s="258"/>
      <c r="G107" s="259"/>
      <c r="H107" s="68"/>
    </row>
    <row r="108" spans="1:8" ht="15.75" thickBot="1">
      <c r="A108" s="184" t="s">
        <v>88</v>
      </c>
      <c r="B108" s="184"/>
      <c r="C108" s="184"/>
      <c r="D108" s="184"/>
      <c r="E108" s="184"/>
      <c r="F108" s="184"/>
      <c r="G108" s="184"/>
      <c r="H108" s="120">
        <f>SUM(H103:H107)</f>
        <v>0</v>
      </c>
    </row>
    <row r="109" spans="1:8" ht="15.75" thickBot="1">
      <c r="A109" s="184" t="s">
        <v>89</v>
      </c>
      <c r="B109" s="184"/>
      <c r="C109" s="184"/>
      <c r="D109" s="184"/>
      <c r="E109" s="184"/>
      <c r="F109" s="184"/>
      <c r="G109" s="184"/>
      <c r="H109" s="120">
        <f>Настройка!B10</f>
        <v>0</v>
      </c>
    </row>
    <row r="110" spans="1:8" ht="15.75" thickBot="1">
      <c r="A110" s="184" t="s">
        <v>240</v>
      </c>
      <c r="B110" s="184"/>
      <c r="C110" s="184"/>
      <c r="D110" s="184"/>
      <c r="E110" s="184"/>
      <c r="F110" s="184"/>
      <c r="G110" s="184"/>
      <c r="H110" s="121">
        <f>IF(H109&gt;0,ROUND(H108/H109,1),0)</f>
        <v>0</v>
      </c>
    </row>
    <row r="111" spans="1:8" ht="15.75" thickBot="1">
      <c r="A111" s="246" t="s">
        <v>284</v>
      </c>
      <c r="B111" s="246"/>
      <c r="C111" s="246"/>
      <c r="D111" s="246"/>
      <c r="E111" s="246"/>
      <c r="F111" s="246"/>
      <c r="G111" s="246"/>
      <c r="H111" s="113">
        <f>VLOOKUP(H110,tablica321,2,TRUE)</f>
        <v>0</v>
      </c>
    </row>
    <row r="113" spans="1:8" ht="54" customHeight="1">
      <c r="A113" s="104" t="s">
        <v>310</v>
      </c>
      <c r="B113" s="159" t="s">
        <v>333</v>
      </c>
      <c r="C113" s="159"/>
      <c r="D113" s="159"/>
      <c r="E113" s="159"/>
      <c r="F113" s="159"/>
      <c r="G113" s="159"/>
      <c r="H113" s="159"/>
    </row>
    <row r="115" spans="1:8" ht="15">
      <c r="A115" s="227" t="s">
        <v>257</v>
      </c>
      <c r="B115" s="160" t="s">
        <v>312</v>
      </c>
      <c r="C115" s="227"/>
      <c r="D115" s="227"/>
      <c r="E115" s="227"/>
      <c r="F115" s="227"/>
      <c r="G115" s="227"/>
      <c r="H115" s="227"/>
    </row>
    <row r="116" spans="1:8" ht="15">
      <c r="A116" s="263"/>
      <c r="B116" s="227"/>
      <c r="C116" s="227"/>
      <c r="D116" s="227"/>
      <c r="E116" s="227"/>
      <c r="F116" s="227"/>
      <c r="G116" s="227"/>
      <c r="H116" s="227"/>
    </row>
    <row r="117" spans="1:8" ht="15">
      <c r="A117" s="263"/>
      <c r="B117" s="227"/>
      <c r="C117" s="227"/>
      <c r="D117" s="227"/>
      <c r="E117" s="227"/>
      <c r="F117" s="227"/>
      <c r="G117" s="227"/>
      <c r="H117" s="227"/>
    </row>
    <row r="118" ht="15.75" thickBot="1"/>
    <row r="119" spans="1:8" ht="54.75" customHeight="1" thickBot="1">
      <c r="A119" s="217" t="s">
        <v>313</v>
      </c>
      <c r="B119" s="218"/>
      <c r="C119" s="219"/>
      <c r="D119" s="86" t="s">
        <v>294</v>
      </c>
      <c r="E119" s="27" t="s">
        <v>112</v>
      </c>
      <c r="F119" s="213" t="s">
        <v>216</v>
      </c>
      <c r="G119" s="213"/>
      <c r="H119" s="58" t="s">
        <v>13</v>
      </c>
    </row>
    <row r="120" spans="1:8" ht="15.75" thickBot="1">
      <c r="A120" s="149"/>
      <c r="B120" s="150"/>
      <c r="C120" s="151"/>
      <c r="D120" s="69"/>
      <c r="E120" s="69"/>
      <c r="F120" s="245"/>
      <c r="G120" s="245"/>
      <c r="H120" s="122">
        <f>IF(A120&lt;&gt;"",2,0)*IF(D120="Да",0.5,1)*IF(E120="Да",2,1)*IF(F120="Да",1.2,1)</f>
        <v>0</v>
      </c>
    </row>
    <row r="121" spans="1:8" ht="15.75" thickBot="1">
      <c r="A121" s="149"/>
      <c r="B121" s="150"/>
      <c r="C121" s="151"/>
      <c r="D121" s="69"/>
      <c r="E121" s="69"/>
      <c r="F121" s="245"/>
      <c r="G121" s="245"/>
      <c r="H121" s="122">
        <f>IF(A121&lt;&gt;"",2,0)*IF(D121="Да",0.5,1)*IF(E121="Да",2,1)*IF(F121="Да",1.2,1)</f>
        <v>0</v>
      </c>
    </row>
    <row r="122" spans="1:8" ht="15.75" thickBot="1">
      <c r="A122" s="149"/>
      <c r="B122" s="150"/>
      <c r="C122" s="151"/>
      <c r="D122" s="69"/>
      <c r="E122" s="69"/>
      <c r="F122" s="245"/>
      <c r="G122" s="245"/>
      <c r="H122" s="122">
        <f>IF(A122&lt;&gt;"",2,0)*IF(D122="Да",0.5,1)*IF(E122="Да",2,1)*IF(F122="Да",1.2,1)</f>
        <v>0</v>
      </c>
    </row>
    <row r="123" spans="1:8" ht="15.75" thickBot="1">
      <c r="A123" s="149"/>
      <c r="B123" s="150"/>
      <c r="C123" s="151"/>
      <c r="D123" s="69"/>
      <c r="E123" s="69"/>
      <c r="F123" s="245"/>
      <c r="G123" s="245"/>
      <c r="H123" s="122">
        <f>IF(A123&lt;&gt;"",2,0)*IF(D123="Да",0.5,1)*IF(E123="Да",2,1)*IF(F123="Да",1.2,1)</f>
        <v>0</v>
      </c>
    </row>
    <row r="124" spans="1:8" ht="15.75" thickBot="1">
      <c r="A124" s="287" t="s">
        <v>94</v>
      </c>
      <c r="B124" s="288"/>
      <c r="C124" s="288"/>
      <c r="D124" s="288"/>
      <c r="E124" s="288"/>
      <c r="F124" s="288"/>
      <c r="G124" s="289"/>
      <c r="H124" s="123">
        <f>SUM(H120:H123)</f>
        <v>0</v>
      </c>
    </row>
    <row r="125" ht="15.75" thickBot="1"/>
    <row r="126" spans="1:8" ht="57.75" customHeight="1" thickBot="1">
      <c r="A126" s="217" t="s">
        <v>221</v>
      </c>
      <c r="B126" s="218"/>
      <c r="C126" s="219"/>
      <c r="D126" s="86" t="s">
        <v>318</v>
      </c>
      <c r="E126" s="27" t="s">
        <v>112</v>
      </c>
      <c r="F126" s="213" t="s">
        <v>216</v>
      </c>
      <c r="G126" s="213"/>
      <c r="H126" s="58" t="s">
        <v>13</v>
      </c>
    </row>
    <row r="127" spans="1:8" ht="15.75" thickBot="1">
      <c r="A127" s="149"/>
      <c r="B127" s="150"/>
      <c r="C127" s="151"/>
      <c r="D127" s="69"/>
      <c r="E127" s="69"/>
      <c r="F127" s="245"/>
      <c r="G127" s="245"/>
      <c r="H127" s="122">
        <f>IF(A127&lt;&gt;"",1,0)*IF(D127="Да",0.5,1)*IF(E127="Да",2,1)*IF(F127="Да",1.2,1)</f>
        <v>0</v>
      </c>
    </row>
    <row r="128" spans="1:8" ht="15.75" thickBot="1">
      <c r="A128" s="149"/>
      <c r="B128" s="150"/>
      <c r="C128" s="151"/>
      <c r="D128" s="69"/>
      <c r="E128" s="69"/>
      <c r="F128" s="245"/>
      <c r="G128" s="245"/>
      <c r="H128" s="122">
        <f>IF(A128&lt;&gt;"",1,0)*IF(D128="Да",0.5,1)*IF(E128="Да",2,1)*IF(F128="Да",1.2,1)</f>
        <v>0</v>
      </c>
    </row>
    <row r="129" spans="1:8" ht="15.75" thickBot="1">
      <c r="A129" s="149"/>
      <c r="B129" s="150"/>
      <c r="C129" s="151"/>
      <c r="D129" s="69"/>
      <c r="E129" s="69"/>
      <c r="F129" s="245"/>
      <c r="G129" s="245"/>
      <c r="H129" s="122">
        <f>IF(A129&lt;&gt;"",1,0)*IF(D129="Да",0.5,1)*IF(E129="Да",2,1)*IF(F129="Да",1.2,1)</f>
        <v>0</v>
      </c>
    </row>
    <row r="130" spans="1:8" ht="15.75" thickBot="1">
      <c r="A130" s="149"/>
      <c r="B130" s="150"/>
      <c r="C130" s="151"/>
      <c r="D130" s="69"/>
      <c r="E130" s="69"/>
      <c r="F130" s="245"/>
      <c r="G130" s="245"/>
      <c r="H130" s="122">
        <f>IF(A130&lt;&gt;"",1,0)*IF(D130="Да",0.5,1)*IF(E130="Да",2,1)*IF(F130="Да",1.2,1)</f>
        <v>0</v>
      </c>
    </row>
    <row r="131" spans="1:8" ht="15.75" thickBot="1">
      <c r="A131" s="287" t="s">
        <v>94</v>
      </c>
      <c r="B131" s="288"/>
      <c r="C131" s="288"/>
      <c r="D131" s="288"/>
      <c r="E131" s="288"/>
      <c r="F131" s="288"/>
      <c r="G131" s="289"/>
      <c r="H131" s="124">
        <f>SUM(H127:H130)</f>
        <v>0</v>
      </c>
    </row>
    <row r="132" ht="15.75" thickBot="1"/>
    <row r="133" spans="1:7" ht="60" customHeight="1" thickBot="1">
      <c r="A133" s="217" t="s">
        <v>220</v>
      </c>
      <c r="B133" s="218"/>
      <c r="C133" s="219"/>
      <c r="D133" s="27" t="s">
        <v>112</v>
      </c>
      <c r="E133" s="213" t="s">
        <v>216</v>
      </c>
      <c r="F133" s="213"/>
      <c r="G133" s="58" t="s">
        <v>13</v>
      </c>
    </row>
    <row r="134" spans="1:7" ht="15.75" thickBot="1">
      <c r="A134" s="149"/>
      <c r="B134" s="150"/>
      <c r="C134" s="151"/>
      <c r="D134" s="69"/>
      <c r="E134" s="245"/>
      <c r="F134" s="245"/>
      <c r="G134" s="122">
        <f>IF(A134&lt;&gt;"",1.5,0)*IF(D134="Да",2,1)*IF(E134="Да",1.2,1)</f>
        <v>0</v>
      </c>
    </row>
    <row r="135" spans="1:7" ht="15.75" thickBot="1">
      <c r="A135" s="149"/>
      <c r="B135" s="150"/>
      <c r="C135" s="151"/>
      <c r="D135" s="69"/>
      <c r="E135" s="245"/>
      <c r="F135" s="245"/>
      <c r="G135" s="122">
        <f>IF(A135&lt;&gt;"",1.5,0)*IF(D135="Да",2,1)*IF(E135="Да",1.2,1)</f>
        <v>0</v>
      </c>
    </row>
    <row r="136" spans="1:7" ht="15.75" thickBot="1">
      <c r="A136" s="149"/>
      <c r="B136" s="150"/>
      <c r="C136" s="151"/>
      <c r="D136" s="69"/>
      <c r="E136" s="245"/>
      <c r="F136" s="245"/>
      <c r="G136" s="122">
        <f>IF(A136&lt;&gt;"",1.5,0)*IF(D136="Да",2,1)*IF(E136="Да",1.2,1)</f>
        <v>0</v>
      </c>
    </row>
    <row r="137" spans="1:7" ht="15.75" thickBot="1">
      <c r="A137" s="149"/>
      <c r="B137" s="150"/>
      <c r="C137" s="151"/>
      <c r="D137" s="69"/>
      <c r="E137" s="245"/>
      <c r="F137" s="245"/>
      <c r="G137" s="122">
        <f>IF(A137&lt;&gt;"",1.5,0)*IF(D137="Да",2,1)*IF(E137="Да",1.2,1)</f>
        <v>0</v>
      </c>
    </row>
    <row r="138" spans="1:7" ht="15.75" thickBot="1">
      <c r="A138" s="168" t="s">
        <v>94</v>
      </c>
      <c r="B138" s="168"/>
      <c r="C138" s="168"/>
      <c r="D138" s="168"/>
      <c r="E138" s="168"/>
      <c r="F138" s="168"/>
      <c r="G138" s="112">
        <f>SUM(G134:G137)</f>
        <v>0</v>
      </c>
    </row>
    <row r="139" ht="15.75" thickBot="1"/>
    <row r="140" spans="1:8" ht="15.75" thickBot="1">
      <c r="A140" s="168" t="s">
        <v>234</v>
      </c>
      <c r="B140" s="168"/>
      <c r="C140" s="168"/>
      <c r="D140" s="168"/>
      <c r="E140" s="168"/>
      <c r="F140" s="168"/>
      <c r="G140" s="168"/>
      <c r="H140" s="112">
        <f>H124+H131+G138</f>
        <v>0</v>
      </c>
    </row>
    <row r="141" spans="1:8" ht="15.75" customHeight="1" thickBot="1">
      <c r="A141" s="246" t="s">
        <v>329</v>
      </c>
      <c r="B141" s="246"/>
      <c r="C141" s="246"/>
      <c r="D141" s="246"/>
      <c r="E141" s="246"/>
      <c r="F141" s="246"/>
      <c r="G141" s="246"/>
      <c r="H141" s="113">
        <f>IF(H140&lt;=8,H140,8)</f>
        <v>0</v>
      </c>
    </row>
    <row r="143" spans="1:8" ht="49.5" customHeight="1">
      <c r="A143" s="104" t="s">
        <v>310</v>
      </c>
      <c r="B143" s="159" t="s">
        <v>334</v>
      </c>
      <c r="C143" s="159"/>
      <c r="D143" s="159"/>
      <c r="E143" s="159"/>
      <c r="F143" s="159"/>
      <c r="G143" s="159"/>
      <c r="H143" s="159"/>
    </row>
    <row r="144" ht="15.75" thickBot="1"/>
    <row r="145" spans="1:8" ht="23.25" customHeight="1" thickBot="1">
      <c r="A145" s="236" t="s">
        <v>241</v>
      </c>
      <c r="B145" s="237"/>
      <c r="C145" s="237"/>
      <c r="D145" s="237"/>
      <c r="E145" s="237"/>
      <c r="F145" s="237"/>
      <c r="G145" s="238"/>
      <c r="H145" s="119">
        <f>ROUND((H111+H141)/2,1)</f>
        <v>0</v>
      </c>
    </row>
    <row r="148" spans="1:8" ht="45" customHeight="1">
      <c r="A148" s="79" t="s">
        <v>252</v>
      </c>
      <c r="B148" s="152" t="s">
        <v>253</v>
      </c>
      <c r="C148" s="152"/>
      <c r="D148" s="152"/>
      <c r="E148" s="152"/>
      <c r="F148" s="152"/>
      <c r="G148" s="152"/>
      <c r="H148" s="152"/>
    </row>
    <row r="150" spans="1:8" ht="15.75">
      <c r="A150" s="90" t="s">
        <v>298</v>
      </c>
      <c r="B150" s="162" t="s">
        <v>282</v>
      </c>
      <c r="C150" s="163"/>
      <c r="D150" s="163"/>
      <c r="E150" s="163"/>
      <c r="F150" s="163"/>
      <c r="G150" s="163"/>
      <c r="H150" s="163"/>
    </row>
    <row r="151" ht="15.75" thickBot="1"/>
    <row r="152" spans="1:8" ht="15.75" thickBot="1">
      <c r="A152" s="240" t="s">
        <v>95</v>
      </c>
      <c r="B152" s="240"/>
      <c r="C152" s="240"/>
      <c r="D152" s="240"/>
      <c r="E152" s="240"/>
      <c r="F152" s="240"/>
      <c r="G152" s="240"/>
      <c r="H152" s="239" t="s">
        <v>14</v>
      </c>
    </row>
    <row r="153" spans="1:8" ht="15.75" thickBot="1">
      <c r="A153" s="241" t="s">
        <v>96</v>
      </c>
      <c r="B153" s="241"/>
      <c r="C153" s="241"/>
      <c r="D153" s="241"/>
      <c r="E153" s="241"/>
      <c r="F153" s="241"/>
      <c r="G153" s="241"/>
      <c r="H153" s="239"/>
    </row>
    <row r="154" spans="1:8" ht="50.25" customHeight="1" thickBot="1">
      <c r="A154" s="242"/>
      <c r="B154" s="242"/>
      <c r="C154" s="242"/>
      <c r="D154" s="242"/>
      <c r="E154" s="242"/>
      <c r="F154" s="242"/>
      <c r="G154" s="242"/>
      <c r="H154" s="105">
        <f>IF(A154&lt;&gt;"",VLOOKUP(A154,tablica33,2,FALSE),0)</f>
        <v>0</v>
      </c>
    </row>
    <row r="155" spans="1:8" ht="29.25" customHeight="1" thickBot="1">
      <c r="A155" s="174" t="s">
        <v>225</v>
      </c>
      <c r="B155" s="175"/>
      <c r="C155" s="175"/>
      <c r="D155" s="175"/>
      <c r="E155" s="175"/>
      <c r="F155" s="175"/>
      <c r="G155" s="176"/>
      <c r="H155" s="114">
        <f>H154</f>
        <v>0</v>
      </c>
    </row>
    <row r="156" ht="15.75" thickBot="1"/>
    <row r="157" spans="1:8" ht="20.25" customHeight="1" thickBot="1">
      <c r="A157" s="236" t="s">
        <v>245</v>
      </c>
      <c r="B157" s="237"/>
      <c r="C157" s="237"/>
      <c r="D157" s="237"/>
      <c r="E157" s="237"/>
      <c r="F157" s="237"/>
      <c r="G157" s="238"/>
      <c r="H157" s="119">
        <f>H155</f>
        <v>0</v>
      </c>
    </row>
    <row r="158" spans="1:8" ht="15" customHeight="1">
      <c r="A158" s="73"/>
      <c r="B158" s="73"/>
      <c r="C158" s="73"/>
      <c r="D158" s="73"/>
      <c r="E158" s="73"/>
      <c r="F158" s="73"/>
      <c r="G158" s="73"/>
      <c r="H158" s="63"/>
    </row>
    <row r="160" spans="1:8" ht="21.75">
      <c r="A160" s="79" t="s">
        <v>258</v>
      </c>
      <c r="B160" s="152" t="s">
        <v>319</v>
      </c>
      <c r="C160" s="152"/>
      <c r="D160" s="152"/>
      <c r="E160" s="152"/>
      <c r="F160" s="152"/>
      <c r="G160" s="152"/>
      <c r="H160" s="152"/>
    </row>
    <row r="161" spans="1:8" ht="15" customHeight="1">
      <c r="A161" s="93"/>
      <c r="B161" s="93"/>
      <c r="C161" s="93"/>
      <c r="D161" s="93"/>
      <c r="E161" s="93"/>
      <c r="F161" s="93"/>
      <c r="G161" s="93"/>
      <c r="H161" s="93"/>
    </row>
    <row r="162" spans="1:8" ht="15" customHeight="1">
      <c r="A162" s="90" t="s">
        <v>297</v>
      </c>
      <c r="B162" s="162" t="s">
        <v>320</v>
      </c>
      <c r="C162" s="163"/>
      <c r="D162" s="163"/>
      <c r="E162" s="163"/>
      <c r="F162" s="163"/>
      <c r="G162" s="163"/>
      <c r="H162" s="163"/>
    </row>
    <row r="163" ht="15.75" thickBot="1"/>
    <row r="164" spans="1:8" ht="15.75" thickBot="1">
      <c r="A164" s="27" t="s">
        <v>3</v>
      </c>
      <c r="B164" s="213" t="s">
        <v>101</v>
      </c>
      <c r="C164" s="213"/>
      <c r="D164" s="213"/>
      <c r="E164" s="213"/>
      <c r="F164" s="213"/>
      <c r="G164" s="213"/>
      <c r="H164" s="27" t="s">
        <v>14</v>
      </c>
    </row>
    <row r="165" spans="1:8" ht="15.75" thickBot="1">
      <c r="A165" s="25" t="str">
        <f>Настройка!$B$9-3&amp;"/"&amp;TEXT((Настройка!$B$9-2),0)&amp;" год."</f>
        <v>2016/2017 год.</v>
      </c>
      <c r="B165" s="243"/>
      <c r="C165" s="244"/>
      <c r="D165" s="244"/>
      <c r="E165" s="244"/>
      <c r="F165" s="244"/>
      <c r="G165" s="244"/>
      <c r="H165" s="109">
        <f>VLOOKUP(B165,tablica34,2,FALSE)</f>
        <v>0</v>
      </c>
    </row>
    <row r="166" spans="1:8" ht="15.75" thickBot="1">
      <c r="A166" s="25" t="str">
        <f>Настройка!$B$9-2&amp;"/"&amp;TEXT((Настройка!$B$9-1),0)&amp;" год."</f>
        <v>2017/2018 год.</v>
      </c>
      <c r="B166" s="244"/>
      <c r="C166" s="244"/>
      <c r="D166" s="244"/>
      <c r="E166" s="244"/>
      <c r="F166" s="244"/>
      <c r="G166" s="244"/>
      <c r="H166" s="109">
        <f>VLOOKUP(B166,tablica34,2,FALSE)</f>
        <v>0</v>
      </c>
    </row>
    <row r="167" spans="1:8" ht="15.75" thickBot="1">
      <c r="A167" s="25" t="str">
        <f>Настройка!$B$9-1&amp;"/"&amp;TEXT((Настройка!$B$9),0)&amp;" год."</f>
        <v>2018/2019 год.</v>
      </c>
      <c r="B167" s="243"/>
      <c r="C167" s="244"/>
      <c r="D167" s="244"/>
      <c r="E167" s="244"/>
      <c r="F167" s="244"/>
      <c r="G167" s="244"/>
      <c r="H167" s="109">
        <f>VLOOKUP(B167,tablica34,2,FALSE)</f>
        <v>0</v>
      </c>
    </row>
    <row r="168" spans="1:8" ht="15.75" thickBot="1">
      <c r="A168" s="184" t="s">
        <v>102</v>
      </c>
      <c r="B168" s="184"/>
      <c r="C168" s="184"/>
      <c r="D168" s="184"/>
      <c r="E168" s="184"/>
      <c r="F168" s="184"/>
      <c r="G168" s="184"/>
      <c r="H168" s="112">
        <f>SUM(H165:H167)</f>
        <v>0</v>
      </c>
    </row>
    <row r="169" spans="1:8" ht="15.75" thickBot="1">
      <c r="A169" s="184" t="s">
        <v>103</v>
      </c>
      <c r="B169" s="184"/>
      <c r="C169" s="184"/>
      <c r="D169" s="184"/>
      <c r="E169" s="184"/>
      <c r="F169" s="184"/>
      <c r="G169" s="184"/>
      <c r="H169" s="112">
        <f>3-COUNTIF(B165:G167,"Обективно няма възможност да води")</f>
        <v>3</v>
      </c>
    </row>
    <row r="170" spans="1:8" ht="15.75" thickBot="1">
      <c r="A170" s="91"/>
      <c r="B170" s="91"/>
      <c r="C170" s="91"/>
      <c r="D170" s="91"/>
      <c r="E170" s="91"/>
      <c r="F170" s="91"/>
      <c r="G170" s="91"/>
      <c r="H170" s="92"/>
    </row>
    <row r="171" spans="1:8" ht="18.75" customHeight="1" thickBot="1">
      <c r="A171" s="236" t="s">
        <v>286</v>
      </c>
      <c r="B171" s="237"/>
      <c r="C171" s="237"/>
      <c r="D171" s="237"/>
      <c r="E171" s="237"/>
      <c r="F171" s="237"/>
      <c r="G171" s="238"/>
      <c r="H171" s="119">
        <f>IF(H168&lt;&gt;0,ROUND(H168/H169,1),0)</f>
        <v>0</v>
      </c>
    </row>
    <row r="172" spans="1:8" ht="15" customHeight="1">
      <c r="A172" s="73"/>
      <c r="B172" s="73"/>
      <c r="C172" s="73"/>
      <c r="D172" s="73"/>
      <c r="E172" s="73"/>
      <c r="F172" s="73"/>
      <c r="G172" s="73"/>
      <c r="H172" s="102"/>
    </row>
    <row r="174" spans="1:8" ht="21.75">
      <c r="A174" s="79" t="s">
        <v>259</v>
      </c>
      <c r="B174" s="152" t="s">
        <v>321</v>
      </c>
      <c r="C174" s="152"/>
      <c r="D174" s="152"/>
      <c r="E174" s="152"/>
      <c r="F174" s="152"/>
      <c r="G174" s="152"/>
      <c r="H174" s="152"/>
    </row>
    <row r="175" spans="1:8" ht="15" customHeight="1">
      <c r="A175" s="93"/>
      <c r="B175" s="93"/>
      <c r="C175" s="93"/>
      <c r="D175" s="93"/>
      <c r="E175" s="93"/>
      <c r="F175" s="93"/>
      <c r="G175" s="93"/>
      <c r="H175" s="93"/>
    </row>
    <row r="176" spans="1:8" ht="15" customHeight="1">
      <c r="A176" s="90" t="s">
        <v>296</v>
      </c>
      <c r="B176" s="162" t="s">
        <v>321</v>
      </c>
      <c r="C176" s="163"/>
      <c r="D176" s="163"/>
      <c r="E176" s="163"/>
      <c r="F176" s="163"/>
      <c r="G176" s="163"/>
      <c r="H176" s="163"/>
    </row>
    <row r="177" ht="15.75" thickBot="1"/>
    <row r="178" spans="1:8" ht="15.75" thickBot="1">
      <c r="A178" s="27" t="s">
        <v>3</v>
      </c>
      <c r="B178" s="213" t="s">
        <v>129</v>
      </c>
      <c r="C178" s="213"/>
      <c r="D178" s="213"/>
      <c r="E178" s="213"/>
      <c r="F178" s="213"/>
      <c r="G178" s="213"/>
      <c r="H178" s="27" t="s">
        <v>14</v>
      </c>
    </row>
    <row r="179" spans="1:8" ht="15.75" thickBot="1">
      <c r="A179" s="25" t="str">
        <f>Настройка!$B$9-3&amp;"/"&amp;TEXT((Настройка!$B$9-2),0)&amp;" год."</f>
        <v>2016/2017 год.</v>
      </c>
      <c r="B179" s="243"/>
      <c r="C179" s="244"/>
      <c r="D179" s="244"/>
      <c r="E179" s="244"/>
      <c r="F179" s="244"/>
      <c r="G179" s="244"/>
      <c r="H179" s="109">
        <f>VLOOKUP(B179,tablica34,2,FALSE)</f>
        <v>0</v>
      </c>
    </row>
    <row r="180" spans="1:8" ht="15.75" thickBot="1">
      <c r="A180" s="25" t="str">
        <f>Настройка!$B$9-2&amp;"/"&amp;TEXT((Настройка!$B$9-1),0)&amp;" год."</f>
        <v>2017/2018 год.</v>
      </c>
      <c r="B180" s="243"/>
      <c r="C180" s="244"/>
      <c r="D180" s="244"/>
      <c r="E180" s="244"/>
      <c r="F180" s="244"/>
      <c r="G180" s="244"/>
      <c r="H180" s="109">
        <f>VLOOKUP(B180,tablica34,2,FALSE)</f>
        <v>0</v>
      </c>
    </row>
    <row r="181" spans="1:8" ht="15.75" thickBot="1">
      <c r="A181" s="25" t="str">
        <f>Настройка!$B$9-1&amp;"/"&amp;TEXT((Настройка!$B$9),0)&amp;" год."</f>
        <v>2018/2019 год.</v>
      </c>
      <c r="B181" s="244"/>
      <c r="C181" s="244"/>
      <c r="D181" s="244"/>
      <c r="E181" s="244"/>
      <c r="F181" s="244"/>
      <c r="G181" s="244"/>
      <c r="H181" s="109">
        <f>VLOOKUP(B181,tablica34,2,FALSE)</f>
        <v>0</v>
      </c>
    </row>
    <row r="182" spans="1:8" ht="15.75" thickBot="1">
      <c r="A182" s="184" t="s">
        <v>102</v>
      </c>
      <c r="B182" s="184"/>
      <c r="C182" s="184"/>
      <c r="D182" s="184"/>
      <c r="E182" s="184"/>
      <c r="F182" s="184"/>
      <c r="G182" s="184"/>
      <c r="H182" s="112">
        <f>SUM(H179:H181)</f>
        <v>0</v>
      </c>
    </row>
    <row r="183" spans="1:8" ht="15.75" thickBot="1">
      <c r="A183" s="184" t="s">
        <v>103</v>
      </c>
      <c r="B183" s="184"/>
      <c r="C183" s="184"/>
      <c r="D183" s="184"/>
      <c r="E183" s="184"/>
      <c r="F183" s="184"/>
      <c r="G183" s="184"/>
      <c r="H183" s="112">
        <f>3-COUNTIF(B179:G181,"Обективно няма възможност да води")</f>
        <v>3</v>
      </c>
    </row>
    <row r="184" spans="1:8" ht="15.75" thickBot="1">
      <c r="A184" s="73"/>
      <c r="B184" s="73"/>
      <c r="C184" s="73"/>
      <c r="D184" s="73"/>
      <c r="E184" s="73"/>
      <c r="F184" s="73"/>
      <c r="G184" s="73"/>
      <c r="H184" s="92"/>
    </row>
    <row r="185" spans="1:8" ht="21" customHeight="1" thickBot="1">
      <c r="A185" s="236" t="s">
        <v>260</v>
      </c>
      <c r="B185" s="237"/>
      <c r="C185" s="237"/>
      <c r="D185" s="237"/>
      <c r="E185" s="237"/>
      <c r="F185" s="237"/>
      <c r="G185" s="238"/>
      <c r="H185" s="119">
        <f>IF(H182&lt;&gt;0,ROUND(H182/H183,1),0)</f>
        <v>0</v>
      </c>
    </row>
    <row r="189" spans="1:8" ht="25.5">
      <c r="A189" s="281" t="s">
        <v>222</v>
      </c>
      <c r="B189" s="281"/>
      <c r="C189" s="281"/>
      <c r="D189" s="281"/>
      <c r="E189" s="281"/>
      <c r="F189" s="281"/>
      <c r="G189" s="281"/>
      <c r="H189" s="281"/>
    </row>
    <row r="191" spans="1:8" ht="34.5" customHeight="1">
      <c r="A191" s="79" t="s">
        <v>261</v>
      </c>
      <c r="B191" s="152" t="s">
        <v>295</v>
      </c>
      <c r="C191" s="152"/>
      <c r="D191" s="152"/>
      <c r="E191" s="152"/>
      <c r="F191" s="152"/>
      <c r="G191" s="152"/>
      <c r="H191" s="152"/>
    </row>
    <row r="193" spans="1:8" ht="15.75">
      <c r="A193" s="90" t="s">
        <v>299</v>
      </c>
      <c r="B193" s="162" t="s">
        <v>300</v>
      </c>
      <c r="C193" s="163"/>
      <c r="D193" s="163"/>
      <c r="E193" s="163"/>
      <c r="F193" s="163"/>
      <c r="G193" s="163"/>
      <c r="H193" s="163"/>
    </row>
    <row r="194" ht="15.75" thickBot="1"/>
    <row r="195" spans="1:8" ht="26.25" customHeight="1" thickBot="1">
      <c r="A195" s="233" t="s">
        <v>138</v>
      </c>
      <c r="B195" s="233"/>
      <c r="C195" s="156" t="s">
        <v>262</v>
      </c>
      <c r="D195" s="157"/>
      <c r="E195" s="157"/>
      <c r="F195" s="157"/>
      <c r="G195" s="158"/>
      <c r="H195" s="96" t="s">
        <v>14</v>
      </c>
    </row>
    <row r="196" spans="1:8" ht="15.75" thickBot="1">
      <c r="A196" s="234"/>
      <c r="B196" s="235"/>
      <c r="C196" s="298"/>
      <c r="D196" s="299"/>
      <c r="E196" s="299"/>
      <c r="F196" s="299"/>
      <c r="G196" s="300"/>
      <c r="H196" s="125">
        <f>IF(A196&lt;&gt;"",VLOOKUP(A196,tablica37,2,FALSE),0)</f>
        <v>0</v>
      </c>
    </row>
    <row r="199" spans="1:8" ht="39.75" customHeight="1">
      <c r="A199" s="79" t="s">
        <v>263</v>
      </c>
      <c r="B199" s="152" t="s">
        <v>301</v>
      </c>
      <c r="C199" s="152"/>
      <c r="D199" s="152"/>
      <c r="E199" s="152"/>
      <c r="F199" s="152"/>
      <c r="G199" s="152"/>
      <c r="H199" s="152"/>
    </row>
    <row r="201" spans="1:8" ht="15.75">
      <c r="A201" s="90" t="s">
        <v>302</v>
      </c>
      <c r="B201" s="162" t="s">
        <v>303</v>
      </c>
      <c r="C201" s="163"/>
      <c r="D201" s="163"/>
      <c r="E201" s="163"/>
      <c r="F201" s="163"/>
      <c r="G201" s="163"/>
      <c r="H201" s="163"/>
    </row>
    <row r="202" ht="15.75" thickBot="1"/>
    <row r="203" spans="3:5" ht="24" customHeight="1" thickBot="1">
      <c r="C203" s="233" t="s">
        <v>138</v>
      </c>
      <c r="D203" s="233"/>
      <c r="E203" s="96" t="s">
        <v>14</v>
      </c>
    </row>
    <row r="204" spans="3:5" ht="15.75" thickBot="1">
      <c r="C204" s="234"/>
      <c r="D204" s="235"/>
      <c r="E204" s="25">
        <f>IF(C204&lt;&gt;"",VLOOKUP(C204,tablica37,2,FALSE),0)</f>
        <v>0</v>
      </c>
    </row>
    <row r="206" ht="15.75" thickBot="1"/>
    <row r="207" spans="1:8" ht="15.75" thickBot="1">
      <c r="A207" s="177" t="s">
        <v>143</v>
      </c>
      <c r="B207" s="178"/>
      <c r="C207" s="178"/>
      <c r="D207" s="178"/>
      <c r="E207" s="178"/>
      <c r="F207" s="178"/>
      <c r="G207" s="178"/>
      <c r="H207" s="179"/>
    </row>
    <row r="208" spans="1:8" ht="15.75" customHeight="1" thickBot="1">
      <c r="A208" s="180" t="s">
        <v>144</v>
      </c>
      <c r="B208" s="181"/>
      <c r="C208" s="181"/>
      <c r="D208" s="181"/>
      <c r="E208" s="181"/>
      <c r="F208" s="181"/>
      <c r="G208" s="182"/>
      <c r="H208" s="128">
        <f>H75+H145+IF(COUNTIF(C68:C71,"Да")&lt;&gt;0,H93,0)+H157+H171+H185+E204+H196</f>
        <v>0</v>
      </c>
    </row>
    <row r="209" spans="1:8" ht="15.75" customHeight="1" thickBot="1">
      <c r="A209" s="180" t="s">
        <v>145</v>
      </c>
      <c r="B209" s="181"/>
      <c r="C209" s="181"/>
      <c r="D209" s="181"/>
      <c r="E209" s="181"/>
      <c r="F209" s="181"/>
      <c r="G209" s="182"/>
      <c r="H209" s="129">
        <f>8-(H169=0)-(H183=0)-(COUNTIF(C68:C71,"Да")=0)-(C204="Обективна невъзможност")</f>
        <v>7</v>
      </c>
    </row>
    <row r="210" spans="1:8" ht="15.75" customHeight="1" thickBot="1">
      <c r="A210" s="184" t="s">
        <v>146</v>
      </c>
      <c r="B210" s="184"/>
      <c r="C210" s="184"/>
      <c r="D210" s="184"/>
      <c r="E210" s="184"/>
      <c r="F210" s="184"/>
      <c r="G210" s="184"/>
      <c r="H210" s="127">
        <f>H208/H209</f>
        <v>0</v>
      </c>
    </row>
    <row r="211" spans="1:8" ht="15.75" customHeight="1" thickBot="1">
      <c r="A211" s="253" t="s">
        <v>147</v>
      </c>
      <c r="B211" s="253"/>
      <c r="C211" s="253"/>
      <c r="D211" s="253"/>
      <c r="E211" s="253"/>
      <c r="F211" s="253"/>
      <c r="G211" s="253"/>
      <c r="H211" s="128">
        <f>IF(Настройка!A8&lt;&gt;"",VLOOKUP(Настройка!A8,razdel62,3,FALSE),0)</f>
        <v>0</v>
      </c>
    </row>
    <row r="212" spans="1:8" ht="15.75" customHeight="1" thickBot="1">
      <c r="A212" s="253" t="s">
        <v>148</v>
      </c>
      <c r="B212" s="253"/>
      <c r="C212" s="253"/>
      <c r="D212" s="253"/>
      <c r="E212" s="253"/>
      <c r="F212" s="253"/>
      <c r="G212" s="253"/>
      <c r="H212" s="128">
        <f>H210*H211</f>
        <v>0</v>
      </c>
    </row>
    <row r="213" spans="1:8" ht="15.75" customHeight="1" thickBot="1">
      <c r="A213" s="184" t="s">
        <v>328</v>
      </c>
      <c r="B213" s="184"/>
      <c r="C213" s="184"/>
      <c r="D213" s="184"/>
      <c r="E213" s="184"/>
      <c r="F213" s="184"/>
      <c r="G213" s="184"/>
      <c r="H213" s="127">
        <f>IF(H211=1.4,IF(H212&lt;=8,H212,8),IF(H212&lt;=6,H212,6))</f>
        <v>0</v>
      </c>
    </row>
    <row r="217" spans="1:8" ht="44.25" customHeight="1">
      <c r="A217" s="41" t="s">
        <v>157</v>
      </c>
      <c r="B217" s="228" t="s">
        <v>152</v>
      </c>
      <c r="C217" s="228"/>
      <c r="D217" s="228"/>
      <c r="E217" s="228"/>
      <c r="F217" s="228"/>
      <c r="G217" s="228"/>
      <c r="H217" s="228"/>
    </row>
    <row r="219" spans="1:8" ht="40.5">
      <c r="A219" s="85" t="s">
        <v>265</v>
      </c>
      <c r="B219" s="152" t="s">
        <v>264</v>
      </c>
      <c r="C219" s="152"/>
      <c r="D219" s="152"/>
      <c r="E219" s="152"/>
      <c r="F219" s="152"/>
      <c r="G219" s="152"/>
      <c r="H219" s="152"/>
    </row>
    <row r="221" spans="1:8" ht="15.75">
      <c r="A221" s="90" t="s">
        <v>304</v>
      </c>
      <c r="B221" s="160" t="s">
        <v>264</v>
      </c>
      <c r="C221" s="161"/>
      <c r="D221" s="161"/>
      <c r="E221" s="161"/>
      <c r="F221" s="161"/>
      <c r="G221" s="161"/>
      <c r="H221" s="161"/>
    </row>
    <row r="222" ht="15.75" thickBot="1"/>
    <row r="223" spans="1:8" ht="24.75" thickBot="1">
      <c r="A223" s="156" t="s">
        <v>305</v>
      </c>
      <c r="B223" s="157"/>
      <c r="C223" s="157"/>
      <c r="D223" s="157"/>
      <c r="E223" s="158"/>
      <c r="F223" s="80" t="s">
        <v>153</v>
      </c>
      <c r="G223" s="19" t="s">
        <v>217</v>
      </c>
      <c r="H223" s="80" t="s">
        <v>154</v>
      </c>
    </row>
    <row r="224" spans="1:8" ht="15.75" thickBot="1">
      <c r="A224" s="290" t="s">
        <v>228</v>
      </c>
      <c r="B224" s="291"/>
      <c r="C224" s="229" t="s">
        <v>155</v>
      </c>
      <c r="D224" s="229"/>
      <c r="E224" s="229"/>
      <c r="F224" s="70"/>
      <c r="G224" s="109">
        <v>3</v>
      </c>
      <c r="H224" s="109">
        <f>F224*G224</f>
        <v>0</v>
      </c>
    </row>
    <row r="225" spans="1:8" ht="15.75" thickBot="1">
      <c r="A225" s="292"/>
      <c r="B225" s="293"/>
      <c r="C225" s="229" t="s">
        <v>156</v>
      </c>
      <c r="D225" s="229"/>
      <c r="E225" s="229"/>
      <c r="F225" s="70"/>
      <c r="G225" s="109">
        <v>6</v>
      </c>
      <c r="H225" s="109">
        <f aca="true" t="shared" si="0" ref="H225:H231">F225*G225</f>
        <v>0</v>
      </c>
    </row>
    <row r="226" spans="1:11" ht="15.75" thickBot="1">
      <c r="A226" s="290" t="s">
        <v>229</v>
      </c>
      <c r="B226" s="291"/>
      <c r="C226" s="229" t="s">
        <v>155</v>
      </c>
      <c r="D226" s="229"/>
      <c r="E226" s="229"/>
      <c r="F226" s="70"/>
      <c r="G226" s="109">
        <v>1.5</v>
      </c>
      <c r="H226" s="109">
        <f t="shared" si="0"/>
        <v>0</v>
      </c>
      <c r="K226" s="57"/>
    </row>
    <row r="227" spans="1:8" ht="15.75" thickBot="1">
      <c r="A227" s="292"/>
      <c r="B227" s="293"/>
      <c r="C227" s="229" t="s">
        <v>156</v>
      </c>
      <c r="D227" s="229"/>
      <c r="E227" s="229"/>
      <c r="F227" s="70"/>
      <c r="G227" s="109">
        <v>3</v>
      </c>
      <c r="H227" s="109">
        <f t="shared" si="0"/>
        <v>0</v>
      </c>
    </row>
    <row r="228" spans="1:8" ht="15.75" thickBot="1">
      <c r="A228" s="290" t="s">
        <v>230</v>
      </c>
      <c r="B228" s="291"/>
      <c r="C228" s="229" t="s">
        <v>155</v>
      </c>
      <c r="D228" s="229"/>
      <c r="E228" s="229"/>
      <c r="F228" s="70"/>
      <c r="G228" s="109">
        <v>1</v>
      </c>
      <c r="H228" s="109">
        <f t="shared" si="0"/>
        <v>0</v>
      </c>
    </row>
    <row r="229" spans="1:8" ht="15.75" thickBot="1">
      <c r="A229" s="292"/>
      <c r="B229" s="293"/>
      <c r="C229" s="229" t="s">
        <v>156</v>
      </c>
      <c r="D229" s="229"/>
      <c r="E229" s="229"/>
      <c r="F229" s="70"/>
      <c r="G229" s="109">
        <v>2</v>
      </c>
      <c r="H229" s="109">
        <f t="shared" si="0"/>
        <v>0</v>
      </c>
    </row>
    <row r="230" spans="1:8" ht="15.75" customHeight="1" thickBot="1">
      <c r="A230" s="290" t="s">
        <v>231</v>
      </c>
      <c r="B230" s="291"/>
      <c r="C230" s="229" t="s">
        <v>155</v>
      </c>
      <c r="D230" s="229"/>
      <c r="E230" s="229"/>
      <c r="F230" s="71"/>
      <c r="G230" s="109">
        <v>0.5</v>
      </c>
      <c r="H230" s="109">
        <f t="shared" si="0"/>
        <v>0</v>
      </c>
    </row>
    <row r="231" spans="1:8" ht="15.75" thickBot="1">
      <c r="A231" s="292"/>
      <c r="B231" s="293"/>
      <c r="C231" s="229" t="s">
        <v>156</v>
      </c>
      <c r="D231" s="229"/>
      <c r="E231" s="229"/>
      <c r="F231" s="71"/>
      <c r="G231" s="109">
        <v>1</v>
      </c>
      <c r="H231" s="109">
        <f t="shared" si="0"/>
        <v>0</v>
      </c>
    </row>
    <row r="232" spans="1:8" ht="15.75" customHeight="1" thickBot="1">
      <c r="A232" s="215" t="s">
        <v>289</v>
      </c>
      <c r="B232" s="215"/>
      <c r="C232" s="215"/>
      <c r="D232" s="215"/>
      <c r="E232" s="215"/>
      <c r="F232" s="215"/>
      <c r="G232" s="215"/>
      <c r="H232" s="130">
        <f>SUM(H224:H231)</f>
        <v>0</v>
      </c>
    </row>
    <row r="233" spans="1:8" ht="25.5" customHeight="1" thickBot="1">
      <c r="A233" s="230" t="s">
        <v>288</v>
      </c>
      <c r="B233" s="230"/>
      <c r="C233" s="230"/>
      <c r="D233" s="230"/>
      <c r="E233" s="230"/>
      <c r="F233" s="230"/>
      <c r="G233" s="230"/>
      <c r="H233" s="131">
        <f>IF(Настройка!$B$10=3,1.5,1)</f>
        <v>1</v>
      </c>
    </row>
    <row r="234" spans="1:8" ht="18.75" customHeight="1" thickBot="1">
      <c r="A234" s="215" t="s">
        <v>287</v>
      </c>
      <c r="B234" s="215"/>
      <c r="C234" s="215"/>
      <c r="D234" s="215"/>
      <c r="E234" s="215"/>
      <c r="F234" s="215"/>
      <c r="G234" s="215"/>
      <c r="H234" s="130">
        <f>H232*H233</f>
        <v>0</v>
      </c>
    </row>
    <row r="238" spans="1:8" ht="40.5">
      <c r="A238" s="79" t="s">
        <v>267</v>
      </c>
      <c r="B238" s="152" t="s">
        <v>266</v>
      </c>
      <c r="C238" s="152"/>
      <c r="D238" s="152"/>
      <c r="E238" s="152"/>
      <c r="F238" s="152"/>
      <c r="G238" s="152"/>
      <c r="H238" s="152"/>
    </row>
    <row r="240" spans="1:8" ht="15.75">
      <c r="A240" s="90" t="s">
        <v>268</v>
      </c>
      <c r="B240" s="160" t="s">
        <v>306</v>
      </c>
      <c r="C240" s="161"/>
      <c r="D240" s="161"/>
      <c r="E240" s="161"/>
      <c r="F240" s="161"/>
      <c r="G240" s="161"/>
      <c r="H240" s="161"/>
    </row>
    <row r="241" ht="15.75" thickBot="1"/>
    <row r="242" spans="1:8" ht="37.5" customHeight="1" thickBot="1">
      <c r="A242" s="213" t="s">
        <v>232</v>
      </c>
      <c r="B242" s="213"/>
      <c r="C242" s="213"/>
      <c r="D242" s="213"/>
      <c r="E242" s="58" t="s">
        <v>153</v>
      </c>
      <c r="F242" s="213" t="s">
        <v>227</v>
      </c>
      <c r="G242" s="213"/>
      <c r="H242" s="58" t="s">
        <v>14</v>
      </c>
    </row>
    <row r="243" spans="1:8" s="60" customFormat="1" ht="15.75" customHeight="1" thickBot="1">
      <c r="A243" s="225" t="s">
        <v>309</v>
      </c>
      <c r="B243" s="225"/>
      <c r="C243" s="225"/>
      <c r="D243" s="225"/>
      <c r="E243" s="72"/>
      <c r="F243" s="223">
        <v>1</v>
      </c>
      <c r="G243" s="224"/>
      <c r="H243" s="111">
        <f>E243*F243</f>
        <v>0</v>
      </c>
    </row>
    <row r="244" spans="1:8" s="60" customFormat="1" ht="15.75" customHeight="1" thickBot="1">
      <c r="A244" s="225" t="s">
        <v>226</v>
      </c>
      <c r="B244" s="225"/>
      <c r="C244" s="225"/>
      <c r="D244" s="225"/>
      <c r="E244" s="72"/>
      <c r="F244" s="223">
        <v>1.5</v>
      </c>
      <c r="G244" s="224"/>
      <c r="H244" s="111">
        <f>E244*F244</f>
        <v>0</v>
      </c>
    </row>
    <row r="245" spans="1:8" s="60" customFormat="1" ht="15.75" customHeight="1" thickBot="1">
      <c r="A245" s="225" t="s">
        <v>308</v>
      </c>
      <c r="B245" s="225"/>
      <c r="C245" s="225"/>
      <c r="D245" s="225"/>
      <c r="E245" s="72"/>
      <c r="F245" s="223">
        <v>2</v>
      </c>
      <c r="G245" s="224"/>
      <c r="H245" s="111">
        <f>E245*F245</f>
        <v>0</v>
      </c>
    </row>
    <row r="246" spans="1:8" ht="15.75" thickBot="1">
      <c r="A246" s="215" t="s">
        <v>158</v>
      </c>
      <c r="B246" s="215"/>
      <c r="C246" s="215"/>
      <c r="D246" s="215"/>
      <c r="E246" s="215"/>
      <c r="F246" s="215"/>
      <c r="G246" s="215"/>
      <c r="H246" s="106">
        <f>SUM(H243:H245)</f>
        <v>0</v>
      </c>
    </row>
    <row r="247" spans="1:8" ht="28.5" customHeight="1" thickBot="1">
      <c r="A247" s="216" t="s">
        <v>236</v>
      </c>
      <c r="B247" s="216"/>
      <c r="C247" s="216"/>
      <c r="D247" s="216"/>
      <c r="E247" s="216"/>
      <c r="F247" s="216"/>
      <c r="G247" s="216"/>
      <c r="H247" s="107">
        <f>IF(Настройка!$B$10=3,1.5,1)</f>
        <v>1</v>
      </c>
    </row>
    <row r="248" spans="1:8" ht="15.75" customHeight="1" thickBot="1">
      <c r="A248" s="220" t="s">
        <v>159</v>
      </c>
      <c r="B248" s="221"/>
      <c r="C248" s="221"/>
      <c r="D248" s="221"/>
      <c r="E248" s="221"/>
      <c r="F248" s="221"/>
      <c r="G248" s="222"/>
      <c r="H248" s="132">
        <f>H246*H247</f>
        <v>0</v>
      </c>
    </row>
    <row r="251" spans="1:8" ht="39" customHeight="1">
      <c r="A251" s="90" t="s">
        <v>269</v>
      </c>
      <c r="B251" s="160" t="s">
        <v>307</v>
      </c>
      <c r="C251" s="227"/>
      <c r="D251" s="227"/>
      <c r="E251" s="227"/>
      <c r="F251" s="227"/>
      <c r="G251" s="227"/>
      <c r="H251" s="227"/>
    </row>
    <row r="252" ht="15.75" thickBot="1"/>
    <row r="253" spans="1:8" ht="37.5" customHeight="1" thickBot="1">
      <c r="A253" s="213" t="s">
        <v>232</v>
      </c>
      <c r="B253" s="213"/>
      <c r="C253" s="213"/>
      <c r="D253" s="213"/>
      <c r="E253" s="58" t="s">
        <v>153</v>
      </c>
      <c r="F253" s="213" t="s">
        <v>217</v>
      </c>
      <c r="G253" s="213"/>
      <c r="H253" s="58" t="s">
        <v>14</v>
      </c>
    </row>
    <row r="254" spans="1:8" s="60" customFormat="1" ht="15.75" customHeight="1" thickBot="1">
      <c r="A254" s="225" t="s">
        <v>309</v>
      </c>
      <c r="B254" s="225"/>
      <c r="C254" s="225"/>
      <c r="D254" s="225"/>
      <c r="E254" s="72"/>
      <c r="F254" s="231">
        <v>0.5</v>
      </c>
      <c r="G254" s="232"/>
      <c r="H254" s="111">
        <f>E254*F254</f>
        <v>0</v>
      </c>
    </row>
    <row r="255" spans="1:8" s="60" customFormat="1" ht="15.75" customHeight="1" thickBot="1">
      <c r="A255" s="225" t="s">
        <v>226</v>
      </c>
      <c r="B255" s="225"/>
      <c r="C255" s="225"/>
      <c r="D255" s="225"/>
      <c r="E255" s="72"/>
      <c r="F255" s="231">
        <v>0.75</v>
      </c>
      <c r="G255" s="232"/>
      <c r="H255" s="111">
        <f>E255*F255</f>
        <v>0</v>
      </c>
    </row>
    <row r="256" spans="1:8" s="60" customFormat="1" ht="15.75" customHeight="1" thickBot="1">
      <c r="A256" s="225" t="s">
        <v>308</v>
      </c>
      <c r="B256" s="225"/>
      <c r="C256" s="225"/>
      <c r="D256" s="225"/>
      <c r="E256" s="72"/>
      <c r="F256" s="231">
        <v>1</v>
      </c>
      <c r="G256" s="232"/>
      <c r="H256" s="111">
        <f>E256*F256</f>
        <v>0</v>
      </c>
    </row>
    <row r="257" spans="1:8" ht="15.75" thickBot="1">
      <c r="A257" s="215" t="s">
        <v>158</v>
      </c>
      <c r="B257" s="215"/>
      <c r="C257" s="215"/>
      <c r="D257" s="215"/>
      <c r="E257" s="215"/>
      <c r="F257" s="215"/>
      <c r="G257" s="215"/>
      <c r="H257" s="106">
        <f>SUM(H254:H256)</f>
        <v>0</v>
      </c>
    </row>
    <row r="258" spans="1:8" ht="28.5" customHeight="1" thickBot="1">
      <c r="A258" s="216" t="s">
        <v>236</v>
      </c>
      <c r="B258" s="216"/>
      <c r="C258" s="216"/>
      <c r="D258" s="216"/>
      <c r="E258" s="216"/>
      <c r="F258" s="216"/>
      <c r="G258" s="216"/>
      <c r="H258" s="97">
        <f>IF(Настройка!$B$10=3,1.5,1)</f>
        <v>1</v>
      </c>
    </row>
    <row r="259" spans="1:8" ht="15.75" customHeight="1" thickBot="1">
      <c r="A259" s="220" t="s">
        <v>163</v>
      </c>
      <c r="B259" s="221"/>
      <c r="C259" s="221"/>
      <c r="D259" s="221"/>
      <c r="E259" s="221"/>
      <c r="F259" s="221"/>
      <c r="G259" s="222"/>
      <c r="H259" s="132">
        <f>H257*H258</f>
        <v>0</v>
      </c>
    </row>
    <row r="260" ht="15.75" thickBot="1"/>
    <row r="261" spans="1:8" ht="18" customHeight="1" thickBot="1">
      <c r="A261" s="214" t="s">
        <v>270</v>
      </c>
      <c r="B261" s="214"/>
      <c r="C261" s="214"/>
      <c r="D261" s="214"/>
      <c r="E261" s="214"/>
      <c r="F261" s="214"/>
      <c r="G261" s="214"/>
      <c r="H261" s="130">
        <f>(H248+H259)</f>
        <v>0</v>
      </c>
    </row>
    <row r="262" spans="1:8" ht="18" customHeight="1" thickBot="1">
      <c r="A262" s="214" t="s">
        <v>327</v>
      </c>
      <c r="B262" s="214"/>
      <c r="C262" s="214"/>
      <c r="D262" s="214"/>
      <c r="E262" s="214"/>
      <c r="F262" s="214"/>
      <c r="G262" s="214"/>
      <c r="H262" s="130">
        <f>IF(H261&lt;=6,H261,6)</f>
        <v>0</v>
      </c>
    </row>
    <row r="264" spans="1:8" ht="42" customHeight="1">
      <c r="A264" s="104" t="s">
        <v>310</v>
      </c>
      <c r="B264" s="159" t="s">
        <v>322</v>
      </c>
      <c r="C264" s="159"/>
      <c r="D264" s="159"/>
      <c r="E264" s="159"/>
      <c r="F264" s="159"/>
      <c r="G264" s="159"/>
      <c r="H264" s="159"/>
    </row>
    <row r="266" spans="1:8" ht="40.5">
      <c r="A266" s="85" t="s">
        <v>315</v>
      </c>
      <c r="B266" s="152" t="s">
        <v>314</v>
      </c>
      <c r="C266" s="152"/>
      <c r="D266" s="152"/>
      <c r="E266" s="152"/>
      <c r="F266" s="152"/>
      <c r="G266" s="152"/>
      <c r="H266" s="152"/>
    </row>
    <row r="268" spans="1:8" ht="15.75">
      <c r="A268" s="90" t="s">
        <v>316</v>
      </c>
      <c r="B268" s="160" t="s">
        <v>317</v>
      </c>
      <c r="C268" s="161"/>
      <c r="D268" s="161"/>
      <c r="E268" s="161"/>
      <c r="F268" s="161"/>
      <c r="G268" s="161"/>
      <c r="H268" s="161"/>
    </row>
    <row r="269" ht="15.75" thickBot="1"/>
    <row r="270" spans="1:8" ht="27" customHeight="1" thickBot="1">
      <c r="A270" s="217" t="s">
        <v>305</v>
      </c>
      <c r="B270" s="218"/>
      <c r="C270" s="218"/>
      <c r="D270" s="219"/>
      <c r="E270" s="86" t="s">
        <v>164</v>
      </c>
      <c r="F270" s="213" t="s">
        <v>217</v>
      </c>
      <c r="G270" s="213"/>
      <c r="H270" s="86" t="s">
        <v>154</v>
      </c>
    </row>
    <row r="271" spans="1:8" ht="15.75" thickBot="1">
      <c r="A271" s="171" t="s">
        <v>335</v>
      </c>
      <c r="B271" s="172"/>
      <c r="C271" s="172"/>
      <c r="D271" s="173"/>
      <c r="E271" s="69"/>
      <c r="F271" s="206">
        <v>1</v>
      </c>
      <c r="G271" s="206"/>
      <c r="H271" s="105">
        <f>E271*F271</f>
        <v>0</v>
      </c>
    </row>
    <row r="272" spans="1:8" ht="15.75" thickBot="1">
      <c r="A272" s="164" t="s">
        <v>223</v>
      </c>
      <c r="B272" s="165"/>
      <c r="C272" s="165"/>
      <c r="D272" s="166"/>
      <c r="E272" s="69"/>
      <c r="F272" s="206">
        <v>2</v>
      </c>
      <c r="G272" s="206"/>
      <c r="H272" s="105">
        <f>E272*F272</f>
        <v>0</v>
      </c>
    </row>
    <row r="273" spans="1:8" ht="15.75" thickBot="1">
      <c r="A273" s="215" t="s">
        <v>158</v>
      </c>
      <c r="B273" s="215"/>
      <c r="C273" s="215"/>
      <c r="D273" s="215"/>
      <c r="E273" s="215"/>
      <c r="F273" s="215"/>
      <c r="G273" s="215"/>
      <c r="H273" s="106">
        <f>SUM(H271:H272)</f>
        <v>0</v>
      </c>
    </row>
    <row r="274" spans="1:8" ht="28.5" customHeight="1" thickBot="1">
      <c r="A274" s="216" t="s">
        <v>236</v>
      </c>
      <c r="B274" s="216"/>
      <c r="C274" s="216"/>
      <c r="D274" s="216"/>
      <c r="E274" s="216"/>
      <c r="F274" s="216"/>
      <c r="G274" s="216"/>
      <c r="H274" s="107">
        <f>IF(Настройка!$B$10=3,1.5,1)</f>
        <v>1</v>
      </c>
    </row>
    <row r="275" spans="1:8" ht="15.75" customHeight="1" thickBot="1">
      <c r="A275" s="220" t="s">
        <v>165</v>
      </c>
      <c r="B275" s="221"/>
      <c r="C275" s="221"/>
      <c r="D275" s="221"/>
      <c r="E275" s="221"/>
      <c r="F275" s="221"/>
      <c r="G275" s="222"/>
      <c r="H275" s="106">
        <f>H273*H274</f>
        <v>0</v>
      </c>
    </row>
    <row r="276" spans="1:8" ht="18.75" customHeight="1" thickBot="1">
      <c r="A276" s="214" t="s">
        <v>326</v>
      </c>
      <c r="B276" s="214"/>
      <c r="C276" s="214"/>
      <c r="D276" s="214"/>
      <c r="E276" s="214"/>
      <c r="F276" s="214"/>
      <c r="G276" s="214"/>
      <c r="H276" s="108">
        <f>IF(H275&lt;=6,H275,6)</f>
        <v>0</v>
      </c>
    </row>
    <row r="278" spans="1:8" ht="42.75" customHeight="1">
      <c r="A278" s="104" t="s">
        <v>310</v>
      </c>
      <c r="B278" s="159" t="s">
        <v>336</v>
      </c>
      <c r="C278" s="159"/>
      <c r="D278" s="159"/>
      <c r="E278" s="159"/>
      <c r="F278" s="159"/>
      <c r="G278" s="159"/>
      <c r="H278" s="159"/>
    </row>
    <row r="280" spans="1:8" ht="40.5">
      <c r="A280" s="79" t="s">
        <v>272</v>
      </c>
      <c r="B280" s="152" t="s">
        <v>271</v>
      </c>
      <c r="C280" s="152"/>
      <c r="D280" s="152"/>
      <c r="E280" s="152"/>
      <c r="F280" s="152"/>
      <c r="G280" s="152"/>
      <c r="H280" s="152"/>
    </row>
    <row r="282" spans="1:8" ht="15.75">
      <c r="A282" s="90" t="s">
        <v>274</v>
      </c>
      <c r="B282" s="162" t="s">
        <v>273</v>
      </c>
      <c r="C282" s="163"/>
      <c r="D282" s="163"/>
      <c r="E282" s="163"/>
      <c r="F282" s="163"/>
      <c r="G282" s="163"/>
      <c r="H282" s="163"/>
    </row>
    <row r="283" ht="15.75" thickBot="1"/>
    <row r="284" spans="1:8" ht="15.75" customHeight="1" thickBot="1">
      <c r="A284" s="210" t="s">
        <v>166</v>
      </c>
      <c r="B284" s="211"/>
      <c r="C284" s="212"/>
      <c r="D284" s="19" t="s">
        <v>167</v>
      </c>
      <c r="E284" s="226" t="s">
        <v>290</v>
      </c>
      <c r="F284" s="226"/>
      <c r="G284" s="226"/>
      <c r="H284" s="19" t="s">
        <v>14</v>
      </c>
    </row>
    <row r="285" spans="1:8" ht="15.75" thickBot="1">
      <c r="A285" s="149"/>
      <c r="B285" s="150"/>
      <c r="C285" s="151"/>
      <c r="D285" s="69"/>
      <c r="E285" s="167"/>
      <c r="F285" s="167"/>
      <c r="G285" s="167"/>
      <c r="H285" s="109">
        <f>IF(A285&lt;&gt;"",VLOOKUP(A285,tablica441,2,FALSE),0)</f>
        <v>0</v>
      </c>
    </row>
    <row r="286" spans="1:8" ht="15.75" thickBot="1">
      <c r="A286" s="207"/>
      <c r="B286" s="208"/>
      <c r="C286" s="209"/>
      <c r="D286" s="69"/>
      <c r="E286" s="167"/>
      <c r="F286" s="167"/>
      <c r="G286" s="167"/>
      <c r="H286" s="109">
        <f>IF(A286&lt;&gt;"",VLOOKUP(A286,tablica441,2,FALSE),0)</f>
        <v>0</v>
      </c>
    </row>
    <row r="287" spans="1:8" ht="15.75" thickBot="1">
      <c r="A287" s="207"/>
      <c r="B287" s="208"/>
      <c r="C287" s="209"/>
      <c r="D287" s="69"/>
      <c r="E287" s="167"/>
      <c r="F287" s="167"/>
      <c r="G287" s="167"/>
      <c r="H287" s="109">
        <f>IF(A287&lt;&gt;"",VLOOKUP(A287,tablica441,2,FALSE),0)</f>
        <v>0</v>
      </c>
    </row>
    <row r="288" spans="1:8" ht="15.75" customHeight="1" thickBot="1">
      <c r="A288" s="168" t="s">
        <v>168</v>
      </c>
      <c r="B288" s="168"/>
      <c r="C288" s="168"/>
      <c r="D288" s="168"/>
      <c r="E288" s="168"/>
      <c r="F288" s="168"/>
      <c r="G288" s="168"/>
      <c r="H288" s="110">
        <f>SUM(H285:H287)</f>
        <v>0</v>
      </c>
    </row>
    <row r="291" spans="1:8" ht="15.75">
      <c r="A291" s="90" t="s">
        <v>276</v>
      </c>
      <c r="B291" s="162" t="s">
        <v>275</v>
      </c>
      <c r="C291" s="163"/>
      <c r="D291" s="163"/>
      <c r="E291" s="163"/>
      <c r="F291" s="163"/>
      <c r="G291" s="163"/>
      <c r="H291" s="163"/>
    </row>
    <row r="292" ht="15.75" thickBot="1"/>
    <row r="293" spans="1:8" s="61" customFormat="1" ht="15.75" customHeight="1" thickBot="1">
      <c r="A293" s="210" t="s">
        <v>176</v>
      </c>
      <c r="B293" s="211"/>
      <c r="C293" s="211"/>
      <c r="D293" s="212"/>
      <c r="E293" s="59" t="s">
        <v>153</v>
      </c>
      <c r="F293" s="213" t="s">
        <v>217</v>
      </c>
      <c r="G293" s="213"/>
      <c r="H293" s="59" t="s">
        <v>14</v>
      </c>
    </row>
    <row r="294" spans="1:8" s="61" customFormat="1" ht="15.75" thickBot="1">
      <c r="A294" s="171" t="s">
        <v>178</v>
      </c>
      <c r="B294" s="172"/>
      <c r="C294" s="172"/>
      <c r="D294" s="173"/>
      <c r="E294" s="69"/>
      <c r="F294" s="197">
        <v>6</v>
      </c>
      <c r="G294" s="198"/>
      <c r="H294" s="111">
        <f>E294*F294</f>
        <v>0</v>
      </c>
    </row>
    <row r="295" spans="1:8" s="61" customFormat="1" ht="15.75" thickBot="1">
      <c r="A295" s="171" t="s">
        <v>179</v>
      </c>
      <c r="B295" s="172"/>
      <c r="C295" s="172"/>
      <c r="D295" s="173"/>
      <c r="E295" s="69"/>
      <c r="F295" s="197">
        <v>3</v>
      </c>
      <c r="G295" s="198"/>
      <c r="H295" s="111">
        <f>E295*F295</f>
        <v>0</v>
      </c>
    </row>
    <row r="296" spans="1:8" ht="15.75" thickBot="1">
      <c r="A296" s="164" t="s">
        <v>180</v>
      </c>
      <c r="B296" s="165"/>
      <c r="C296" s="165"/>
      <c r="D296" s="166"/>
      <c r="E296" s="87"/>
      <c r="F296" s="169">
        <v>0</v>
      </c>
      <c r="G296" s="170"/>
      <c r="H296" s="111">
        <f>E296*F296</f>
        <v>0</v>
      </c>
    </row>
    <row r="297" spans="1:8" ht="15.75" customHeight="1" thickBot="1">
      <c r="A297" s="153" t="s">
        <v>177</v>
      </c>
      <c r="B297" s="154"/>
      <c r="C297" s="154"/>
      <c r="D297" s="154"/>
      <c r="E297" s="154"/>
      <c r="F297" s="154"/>
      <c r="G297" s="154"/>
      <c r="H297" s="133">
        <f>SUM(H294:H296)</f>
        <v>0</v>
      </c>
    </row>
    <row r="299" spans="1:8" ht="45" customHeight="1">
      <c r="A299" s="104" t="s">
        <v>310</v>
      </c>
      <c r="B299" s="159" t="s">
        <v>337</v>
      </c>
      <c r="C299" s="159"/>
      <c r="D299" s="159"/>
      <c r="E299" s="159"/>
      <c r="F299" s="159"/>
      <c r="G299" s="159"/>
      <c r="H299" s="159"/>
    </row>
    <row r="300" ht="15.75" thickBot="1"/>
    <row r="301" spans="1:8" ht="19.5" customHeight="1" thickBot="1">
      <c r="A301" s="174" t="s">
        <v>277</v>
      </c>
      <c r="B301" s="175"/>
      <c r="C301" s="175"/>
      <c r="D301" s="175"/>
      <c r="E301" s="175"/>
      <c r="F301" s="175"/>
      <c r="G301" s="176"/>
      <c r="H301" s="127">
        <f>IF(Настройка!B12="Да",ROUND((ИндивидуаленОтчет!H288+ИндивидуаленОтчет!H297)/2,1),ИндивидуаленОтчет!H288)</f>
        <v>0</v>
      </c>
    </row>
    <row r="304" ht="15.75" thickBot="1"/>
    <row r="305" spans="1:8" ht="15.75" thickBot="1">
      <c r="A305" s="177" t="s">
        <v>181</v>
      </c>
      <c r="B305" s="178"/>
      <c r="C305" s="178"/>
      <c r="D305" s="178"/>
      <c r="E305" s="178"/>
      <c r="F305" s="178"/>
      <c r="G305" s="178"/>
      <c r="H305" s="179"/>
    </row>
    <row r="306" spans="1:8" ht="15.75" thickBot="1">
      <c r="A306" s="180" t="s">
        <v>182</v>
      </c>
      <c r="B306" s="181"/>
      <c r="C306" s="181"/>
      <c r="D306" s="181"/>
      <c r="E306" s="181"/>
      <c r="F306" s="181"/>
      <c r="G306" s="182"/>
      <c r="H306" s="128">
        <f>H234+H262+H276+H301</f>
        <v>0</v>
      </c>
    </row>
    <row r="307" spans="1:8" ht="15.75" thickBot="1">
      <c r="A307" s="180" t="s">
        <v>145</v>
      </c>
      <c r="B307" s="181"/>
      <c r="C307" s="181"/>
      <c r="D307" s="181"/>
      <c r="E307" s="181"/>
      <c r="F307" s="181"/>
      <c r="G307" s="182"/>
      <c r="H307" s="126">
        <v>4</v>
      </c>
    </row>
    <row r="308" spans="1:8" ht="15.75" thickBot="1">
      <c r="A308" s="184" t="s">
        <v>183</v>
      </c>
      <c r="B308" s="184"/>
      <c r="C308" s="184"/>
      <c r="D308" s="184"/>
      <c r="E308" s="184"/>
      <c r="F308" s="184"/>
      <c r="G308" s="184"/>
      <c r="H308" s="127">
        <f>ROUND(H306/H307,1)</f>
        <v>0</v>
      </c>
    </row>
    <row r="309" spans="1:8" ht="15.75" thickBot="1">
      <c r="A309" s="184" t="s">
        <v>325</v>
      </c>
      <c r="B309" s="184"/>
      <c r="C309" s="184"/>
      <c r="D309" s="184"/>
      <c r="E309" s="184"/>
      <c r="F309" s="184"/>
      <c r="G309" s="184"/>
      <c r="H309" s="127">
        <f>IF(H211=1.4,IF(H308&lt;=4,H308,4),IF(H308&lt;=6,H308,6))</f>
        <v>0</v>
      </c>
    </row>
    <row r="313" spans="1:8" ht="60" customHeight="1">
      <c r="A313" s="98" t="s">
        <v>188</v>
      </c>
      <c r="B313" s="183" t="s">
        <v>375</v>
      </c>
      <c r="C313" s="183"/>
      <c r="D313" s="183"/>
      <c r="E313" s="183"/>
      <c r="F313" s="183"/>
      <c r="G313" s="183"/>
      <c r="H313" s="183"/>
    </row>
    <row r="316" spans="1:8" ht="39" customHeight="1">
      <c r="A316" s="79" t="s">
        <v>265</v>
      </c>
      <c r="B316" s="152" t="s">
        <v>371</v>
      </c>
      <c r="C316" s="152"/>
      <c r="D316" s="152"/>
      <c r="E316" s="152"/>
      <c r="F316" s="152"/>
      <c r="G316" s="152"/>
      <c r="H316" s="152"/>
    </row>
    <row r="317" ht="15.75" thickBot="1"/>
    <row r="318" spans="1:8" ht="15.75" customHeight="1" thickBot="1">
      <c r="A318" s="156" t="s">
        <v>323</v>
      </c>
      <c r="B318" s="157"/>
      <c r="C318" s="157"/>
      <c r="D318" s="157"/>
      <c r="E318" s="157"/>
      <c r="F318" s="157"/>
      <c r="G318" s="158"/>
      <c r="H318" s="96" t="s">
        <v>14</v>
      </c>
    </row>
    <row r="319" spans="1:8" ht="15.75" customHeight="1" thickBot="1">
      <c r="A319" s="149"/>
      <c r="B319" s="150"/>
      <c r="C319" s="150"/>
      <c r="D319" s="150"/>
      <c r="E319" s="150"/>
      <c r="F319" s="150"/>
      <c r="G319" s="151"/>
      <c r="H319" s="109">
        <f>IF(A319&lt;&gt;"",VLOOKUP(A319,tablica51,2,FALSE),0)</f>
        <v>0</v>
      </c>
    </row>
    <row r="320" spans="1:8" ht="15.75" thickBot="1">
      <c r="A320" s="149"/>
      <c r="B320" s="150"/>
      <c r="C320" s="150"/>
      <c r="D320" s="150"/>
      <c r="E320" s="150"/>
      <c r="F320" s="150"/>
      <c r="G320" s="151"/>
      <c r="H320" s="109">
        <f>IF(A320&lt;&gt;"",VLOOKUP(A320,tablica51,2,FALSE),0)</f>
        <v>0</v>
      </c>
    </row>
    <row r="321" spans="1:8" ht="15.75" thickBot="1">
      <c r="A321" s="149"/>
      <c r="B321" s="150"/>
      <c r="C321" s="150"/>
      <c r="D321" s="150"/>
      <c r="E321" s="150"/>
      <c r="F321" s="150"/>
      <c r="G321" s="151"/>
      <c r="H321" s="109">
        <f>IF(A321&lt;&gt;"",VLOOKUP(A321,tablica51,2,FALSE),0)</f>
        <v>0</v>
      </c>
    </row>
    <row r="322" spans="1:8" ht="15.75" thickBot="1">
      <c r="A322" s="153" t="s">
        <v>94</v>
      </c>
      <c r="B322" s="154"/>
      <c r="C322" s="154"/>
      <c r="D322" s="154"/>
      <c r="E322" s="154"/>
      <c r="F322" s="154"/>
      <c r="G322" s="155"/>
      <c r="H322" s="134">
        <f>SUM(H319:H321)</f>
        <v>0</v>
      </c>
    </row>
    <row r="323" ht="15.75" customHeight="1"/>
    <row r="324" spans="1:8" ht="39" customHeight="1">
      <c r="A324" s="139" t="s">
        <v>267</v>
      </c>
      <c r="B324" s="152" t="s">
        <v>374</v>
      </c>
      <c r="C324" s="152"/>
      <c r="D324" s="152"/>
      <c r="E324" s="152"/>
      <c r="F324" s="152"/>
      <c r="G324" s="152"/>
      <c r="H324" s="152"/>
    </row>
    <row r="325" ht="15.75" thickBot="1"/>
    <row r="326" spans="1:8" ht="30" customHeight="1" thickBot="1">
      <c r="A326" s="156" t="s">
        <v>372</v>
      </c>
      <c r="B326" s="157"/>
      <c r="C326" s="158"/>
      <c r="D326" s="156" t="s">
        <v>378</v>
      </c>
      <c r="E326" s="157"/>
      <c r="F326" s="157"/>
      <c r="G326" s="158"/>
      <c r="H326" s="141" t="s">
        <v>14</v>
      </c>
    </row>
    <row r="327" spans="1:8" ht="16.5" customHeight="1" thickBot="1">
      <c r="A327" s="149"/>
      <c r="B327" s="150"/>
      <c r="C327" s="151"/>
      <c r="D327" s="149"/>
      <c r="E327" s="150"/>
      <c r="F327" s="150"/>
      <c r="G327" s="151"/>
      <c r="H327" s="140">
        <f aca="true" t="shared" si="1" ref="H327:H332">IF(A327&lt;&gt;"",VLOOKUP(A327,tablica61,2,FALSE),0)</f>
        <v>0</v>
      </c>
    </row>
    <row r="328" spans="1:8" ht="16.5" customHeight="1" thickBot="1">
      <c r="A328" s="149"/>
      <c r="B328" s="150"/>
      <c r="C328" s="151"/>
      <c r="D328" s="149"/>
      <c r="E328" s="150"/>
      <c r="F328" s="150"/>
      <c r="G328" s="151"/>
      <c r="H328" s="140">
        <f t="shared" si="1"/>
        <v>0</v>
      </c>
    </row>
    <row r="329" spans="1:8" ht="16.5" customHeight="1" thickBot="1">
      <c r="A329" s="149"/>
      <c r="B329" s="150"/>
      <c r="C329" s="151"/>
      <c r="D329" s="149"/>
      <c r="E329" s="150"/>
      <c r="F329" s="150"/>
      <c r="G329" s="151"/>
      <c r="H329" s="140">
        <f t="shared" si="1"/>
        <v>0</v>
      </c>
    </row>
    <row r="330" spans="1:8" ht="16.5" customHeight="1" thickBot="1">
      <c r="A330" s="149"/>
      <c r="B330" s="150"/>
      <c r="C330" s="151"/>
      <c r="D330" s="149"/>
      <c r="E330" s="150"/>
      <c r="F330" s="150"/>
      <c r="G330" s="151"/>
      <c r="H330" s="140">
        <f t="shared" si="1"/>
        <v>0</v>
      </c>
    </row>
    <row r="331" spans="1:8" ht="16.5" customHeight="1" thickBot="1">
      <c r="A331" s="149"/>
      <c r="B331" s="150"/>
      <c r="C331" s="151"/>
      <c r="D331" s="149"/>
      <c r="E331" s="150"/>
      <c r="F331" s="150"/>
      <c r="G331" s="151"/>
      <c r="H331" s="140">
        <f t="shared" si="1"/>
        <v>0</v>
      </c>
    </row>
    <row r="332" spans="1:8" ht="16.5" customHeight="1" thickBot="1">
      <c r="A332" s="149"/>
      <c r="B332" s="150"/>
      <c r="C332" s="151"/>
      <c r="D332" s="149"/>
      <c r="E332" s="150"/>
      <c r="F332" s="150"/>
      <c r="G332" s="151"/>
      <c r="H332" s="140">
        <f t="shared" si="1"/>
        <v>0</v>
      </c>
    </row>
    <row r="333" spans="1:8" ht="15.75" thickBot="1">
      <c r="A333" s="153" t="s">
        <v>94</v>
      </c>
      <c r="B333" s="154"/>
      <c r="C333" s="154"/>
      <c r="D333" s="154"/>
      <c r="E333" s="154"/>
      <c r="F333" s="154"/>
      <c r="G333" s="155"/>
      <c r="H333" s="134">
        <f>SUM(H327:H332)</f>
        <v>0</v>
      </c>
    </row>
    <row r="335" ht="15.75" thickBot="1"/>
    <row r="336" spans="1:8" ht="32.25" customHeight="1" thickBot="1">
      <c r="A336" s="177" t="s">
        <v>376</v>
      </c>
      <c r="B336" s="178"/>
      <c r="C336" s="178"/>
      <c r="D336" s="178"/>
      <c r="E336" s="178"/>
      <c r="F336" s="178"/>
      <c r="G336" s="178"/>
      <c r="H336" s="179"/>
    </row>
    <row r="337" spans="1:8" ht="15.75" thickBot="1">
      <c r="A337" s="180" t="s">
        <v>198</v>
      </c>
      <c r="B337" s="181"/>
      <c r="C337" s="181"/>
      <c r="D337" s="181"/>
      <c r="E337" s="181"/>
      <c r="F337" s="181"/>
      <c r="G337" s="182"/>
      <c r="H337" s="128">
        <f>H322+H333</f>
        <v>0</v>
      </c>
    </row>
    <row r="338" spans="1:8" ht="15.75" thickBot="1">
      <c r="A338" s="180" t="s">
        <v>145</v>
      </c>
      <c r="B338" s="181"/>
      <c r="C338" s="181"/>
      <c r="D338" s="181"/>
      <c r="E338" s="181"/>
      <c r="F338" s="181"/>
      <c r="G338" s="182"/>
      <c r="H338" s="126">
        <v>2</v>
      </c>
    </row>
    <row r="339" spans="1:8" ht="19.5" customHeight="1" thickBot="1">
      <c r="A339" s="184" t="s">
        <v>324</v>
      </c>
      <c r="B339" s="184"/>
      <c r="C339" s="184"/>
      <c r="D339" s="184"/>
      <c r="E339" s="184"/>
      <c r="F339" s="184"/>
      <c r="G339" s="184"/>
      <c r="H339" s="127">
        <f>IF(H337&lt;=4,H337,4)</f>
        <v>0</v>
      </c>
    </row>
    <row r="344" spans="1:8" ht="33" customHeight="1">
      <c r="A344" s="302" t="s">
        <v>280</v>
      </c>
      <c r="B344" s="303"/>
      <c r="C344" s="303"/>
      <c r="D344" s="303"/>
      <c r="E344" s="303"/>
      <c r="F344" s="303"/>
      <c r="G344" s="303"/>
      <c r="H344" s="303"/>
    </row>
    <row r="345" ht="16.5" thickBot="1">
      <c r="A345" s="46"/>
    </row>
    <row r="346" spans="1:8" ht="16.5" thickBot="1">
      <c r="A346" s="194" t="s">
        <v>199</v>
      </c>
      <c r="B346" s="195"/>
      <c r="C346" s="195"/>
      <c r="D346" s="195"/>
      <c r="E346" s="195"/>
      <c r="F346" s="195"/>
      <c r="G346" s="195"/>
      <c r="H346" s="196"/>
    </row>
    <row r="347" spans="1:8" ht="26.25" customHeight="1" thickBot="1">
      <c r="A347" s="84" t="s">
        <v>278</v>
      </c>
      <c r="B347" s="190" t="s">
        <v>279</v>
      </c>
      <c r="C347" s="190"/>
      <c r="D347" s="190"/>
      <c r="E347" s="190"/>
      <c r="F347" s="190"/>
      <c r="G347" s="190"/>
      <c r="H347" s="50" t="s">
        <v>200</v>
      </c>
    </row>
    <row r="348" spans="1:8" ht="15.75" thickBot="1">
      <c r="A348" s="99" t="s">
        <v>76</v>
      </c>
      <c r="B348" s="189" t="s">
        <v>201</v>
      </c>
      <c r="C348" s="189"/>
      <c r="D348" s="189"/>
      <c r="E348" s="189"/>
      <c r="F348" s="189"/>
      <c r="G348" s="189"/>
      <c r="H348" s="135">
        <f>H213</f>
        <v>0</v>
      </c>
    </row>
    <row r="349" spans="1:8" ht="15.75" thickBot="1">
      <c r="A349" s="99" t="s">
        <v>157</v>
      </c>
      <c r="B349" s="189" t="s">
        <v>202</v>
      </c>
      <c r="C349" s="189"/>
      <c r="D349" s="189"/>
      <c r="E349" s="189"/>
      <c r="F349" s="189"/>
      <c r="G349" s="189"/>
      <c r="H349" s="135">
        <f>H309</f>
        <v>0</v>
      </c>
    </row>
    <row r="350" spans="1:8" ht="15.75" thickBot="1">
      <c r="A350" s="99" t="s">
        <v>188</v>
      </c>
      <c r="B350" s="189" t="s">
        <v>203</v>
      </c>
      <c r="C350" s="189"/>
      <c r="D350" s="189"/>
      <c r="E350" s="189"/>
      <c r="F350" s="189"/>
      <c r="G350" s="189"/>
      <c r="H350" s="135">
        <f>H339</f>
        <v>0</v>
      </c>
    </row>
    <row r="351" spans="1:8" ht="31.5" customHeight="1" thickBot="1">
      <c r="A351" s="191" t="s">
        <v>281</v>
      </c>
      <c r="B351" s="192"/>
      <c r="C351" s="192"/>
      <c r="D351" s="192"/>
      <c r="E351" s="192"/>
      <c r="F351" s="192"/>
      <c r="G351" s="193"/>
      <c r="H351" s="136">
        <f>SUM(H348:H350)</f>
        <v>0</v>
      </c>
    </row>
    <row r="352" ht="15.75">
      <c r="A352" s="46"/>
    </row>
    <row r="353" ht="15.75">
      <c r="A353" s="46"/>
    </row>
    <row r="354" spans="1:8" ht="57.75" customHeight="1">
      <c r="A354" s="185" t="s">
        <v>338</v>
      </c>
      <c r="B354" s="185"/>
      <c r="C354" s="185"/>
      <c r="D354" s="185"/>
      <c r="E354" s="185"/>
      <c r="F354" s="185"/>
      <c r="G354" s="185"/>
      <c r="H354" s="185"/>
    </row>
    <row r="355" ht="15">
      <c r="A355" s="47"/>
    </row>
    <row r="356" spans="1:8" ht="15">
      <c r="A356" s="51" t="s">
        <v>205</v>
      </c>
      <c r="E356" s="100" t="s">
        <v>204</v>
      </c>
      <c r="F356" s="186" t="s">
        <v>218</v>
      </c>
      <c r="G356" s="186"/>
      <c r="H356" s="186"/>
    </row>
    <row r="357" spans="1:8" ht="15">
      <c r="A357" s="101">
        <f ca="1">TODAY()</f>
        <v>43886</v>
      </c>
      <c r="F357" s="187" t="str">
        <f>"( "&amp;IF(Настройка!A6&lt;&gt;"",Настройка!A6,"звание, степен, име презиме и фамилия")&amp;" )"</f>
        <v>( звание, степен, име презиме и фамилия )</v>
      </c>
      <c r="G357" s="187"/>
      <c r="H357" s="187"/>
    </row>
    <row r="358" spans="1:8" ht="15">
      <c r="A358" s="29"/>
      <c r="F358" s="188"/>
      <c r="G358" s="188"/>
      <c r="H358" s="188"/>
    </row>
    <row r="359" spans="1:8" ht="15">
      <c r="A359" s="29"/>
      <c r="F359" s="204"/>
      <c r="G359" s="204"/>
      <c r="H359" s="204"/>
    </row>
    <row r="360" ht="15">
      <c r="A360" s="48"/>
    </row>
    <row r="361" ht="15">
      <c r="A361" s="49"/>
    </row>
  </sheetData>
  <sheetProtection password="CC5A" sheet="1" formatColumns="0" formatRows="0" selectLockedCells="1"/>
  <mergeCells count="287">
    <mergeCell ref="B81:H81"/>
    <mergeCell ref="A127:C127"/>
    <mergeCell ref="B240:H240"/>
    <mergeCell ref="B280:H280"/>
    <mergeCell ref="B316:H316"/>
    <mergeCell ref="A344:H344"/>
    <mergeCell ref="A211:G211"/>
    <mergeCell ref="A86:B86"/>
    <mergeCell ref="A87:B87"/>
    <mergeCell ref="A126:C126"/>
    <mergeCell ref="B1:H1"/>
    <mergeCell ref="B79:H79"/>
    <mergeCell ref="B40:H40"/>
    <mergeCell ref="B96:H96"/>
    <mergeCell ref="B148:H148"/>
    <mergeCell ref="C196:G196"/>
    <mergeCell ref="B160:H160"/>
    <mergeCell ref="A83:B83"/>
    <mergeCell ref="A84:B84"/>
    <mergeCell ref="A85:B85"/>
    <mergeCell ref="A93:G93"/>
    <mergeCell ref="B176:H176"/>
    <mergeCell ref="B191:H191"/>
    <mergeCell ref="A242:D242"/>
    <mergeCell ref="A155:G155"/>
    <mergeCell ref="A157:G157"/>
    <mergeCell ref="A189:H189"/>
    <mergeCell ref="B174:H174"/>
    <mergeCell ref="B162:H162"/>
    <mergeCell ref="A119:C119"/>
    <mergeCell ref="A120:C120"/>
    <mergeCell ref="A121:C121"/>
    <mergeCell ref="A122:C122"/>
    <mergeCell ref="A123:C123"/>
    <mergeCell ref="A106:G106"/>
    <mergeCell ref="B165:G165"/>
    <mergeCell ref="A136:C136"/>
    <mergeCell ref="A145:G145"/>
    <mergeCell ref="F120:G120"/>
    <mergeCell ref="F121:G121"/>
    <mergeCell ref="A230:B231"/>
    <mergeCell ref="A223:E223"/>
    <mergeCell ref="A224:B225"/>
    <mergeCell ref="A226:B227"/>
    <mergeCell ref="A228:B229"/>
    <mergeCell ref="A135:C135"/>
    <mergeCell ref="A195:B195"/>
    <mergeCell ref="B178:G178"/>
    <mergeCell ref="B179:G179"/>
    <mergeCell ref="B164:G164"/>
    <mergeCell ref="B166:G166"/>
    <mergeCell ref="A133:C133"/>
    <mergeCell ref="E134:F134"/>
    <mergeCell ref="A169:G169"/>
    <mergeCell ref="A104:G104"/>
    <mergeCell ref="A130:C130"/>
    <mergeCell ref="F127:G127"/>
    <mergeCell ref="F119:G119"/>
    <mergeCell ref="A243:D243"/>
    <mergeCell ref="F129:G129"/>
    <mergeCell ref="F130:G130"/>
    <mergeCell ref="A131:G131"/>
    <mergeCell ref="E133:F133"/>
    <mergeCell ref="A129:C129"/>
    <mergeCell ref="B181:G181"/>
    <mergeCell ref="A182:G182"/>
    <mergeCell ref="F128:G128"/>
    <mergeCell ref="F123:G123"/>
    <mergeCell ref="A124:G124"/>
    <mergeCell ref="A134:C134"/>
    <mergeCell ref="B180:G180"/>
    <mergeCell ref="E135:F135"/>
    <mergeCell ref="A128:C128"/>
    <mergeCell ref="F126:G126"/>
    <mergeCell ref="E65:E66"/>
    <mergeCell ref="A73:G73"/>
    <mergeCell ref="A98:A100"/>
    <mergeCell ref="B98:H100"/>
    <mergeCell ref="A108:G108"/>
    <mergeCell ref="A110:G110"/>
    <mergeCell ref="A102:G102"/>
    <mergeCell ref="F122:G122"/>
    <mergeCell ref="A103:G103"/>
    <mergeCell ref="A105:G105"/>
    <mergeCell ref="A35:A36"/>
    <mergeCell ref="B35:H36"/>
    <mergeCell ref="A68:B68"/>
    <mergeCell ref="A69:B69"/>
    <mergeCell ref="A70:B70"/>
    <mergeCell ref="A67:H67"/>
    <mergeCell ref="A38:H38"/>
    <mergeCell ref="C65:C66"/>
    <mergeCell ref="D65:D66"/>
    <mergeCell ref="H65:H66"/>
    <mergeCell ref="A30:H30"/>
    <mergeCell ref="B42:H43"/>
    <mergeCell ref="A42:A43"/>
    <mergeCell ref="D44:E44"/>
    <mergeCell ref="B61:H63"/>
    <mergeCell ref="A61:A63"/>
    <mergeCell ref="F55:H55"/>
    <mergeCell ref="F56:H56"/>
    <mergeCell ref="D51:E51"/>
    <mergeCell ref="A89:G89"/>
    <mergeCell ref="B91:H91"/>
    <mergeCell ref="B3:H3"/>
    <mergeCell ref="B2:H2"/>
    <mergeCell ref="A13:H13"/>
    <mergeCell ref="A14:H14"/>
    <mergeCell ref="A18:H18"/>
    <mergeCell ref="A19:H19"/>
    <mergeCell ref="F45:H45"/>
    <mergeCell ref="D45:E45"/>
    <mergeCell ref="C231:E231"/>
    <mergeCell ref="A196:B196"/>
    <mergeCell ref="A75:G75"/>
    <mergeCell ref="A107:G107"/>
    <mergeCell ref="A72:G72"/>
    <mergeCell ref="A109:G109"/>
    <mergeCell ref="A111:G111"/>
    <mergeCell ref="A115:A117"/>
    <mergeCell ref="B115:H117"/>
    <mergeCell ref="A88:E88"/>
    <mergeCell ref="A137:C137"/>
    <mergeCell ref="B150:H150"/>
    <mergeCell ref="A71:B71"/>
    <mergeCell ref="F65:G65"/>
    <mergeCell ref="A65:B66"/>
    <mergeCell ref="A254:D254"/>
    <mergeCell ref="F254:G254"/>
    <mergeCell ref="A212:G212"/>
    <mergeCell ref="A213:G213"/>
    <mergeCell ref="C230:E230"/>
    <mergeCell ref="B199:H199"/>
    <mergeCell ref="C227:E227"/>
    <mergeCell ref="C195:G195"/>
    <mergeCell ref="B167:G167"/>
    <mergeCell ref="A168:G168"/>
    <mergeCell ref="E136:F136"/>
    <mergeCell ref="E137:F137"/>
    <mergeCell ref="A141:G141"/>
    <mergeCell ref="A140:G140"/>
    <mergeCell ref="A138:F138"/>
    <mergeCell ref="A259:G259"/>
    <mergeCell ref="C229:E229"/>
    <mergeCell ref="F256:G256"/>
    <mergeCell ref="A183:G183"/>
    <mergeCell ref="A185:G185"/>
    <mergeCell ref="H152:H153"/>
    <mergeCell ref="A152:G152"/>
    <mergeCell ref="A153:G153"/>
    <mergeCell ref="A154:G154"/>
    <mergeCell ref="A171:G171"/>
    <mergeCell ref="F243:G243"/>
    <mergeCell ref="F244:G244"/>
    <mergeCell ref="A271:D271"/>
    <mergeCell ref="A272:D272"/>
    <mergeCell ref="C203:D203"/>
    <mergeCell ref="C204:D204"/>
    <mergeCell ref="A207:H207"/>
    <mergeCell ref="A208:G208"/>
    <mergeCell ref="A209:G209"/>
    <mergeCell ref="A210:G210"/>
    <mergeCell ref="C226:E226"/>
    <mergeCell ref="C228:E228"/>
    <mergeCell ref="A246:G246"/>
    <mergeCell ref="A247:G247"/>
    <mergeCell ref="F242:G242"/>
    <mergeCell ref="F255:G255"/>
    <mergeCell ref="A255:D255"/>
    <mergeCell ref="A253:D253"/>
    <mergeCell ref="F253:G253"/>
    <mergeCell ref="A245:D245"/>
    <mergeCell ref="A248:G248"/>
    <mergeCell ref="B251:H251"/>
    <mergeCell ref="B217:H217"/>
    <mergeCell ref="C224:E224"/>
    <mergeCell ref="C225:E225"/>
    <mergeCell ref="A232:G232"/>
    <mergeCell ref="B238:H238"/>
    <mergeCell ref="A233:G233"/>
    <mergeCell ref="A234:G234"/>
    <mergeCell ref="B219:H219"/>
    <mergeCell ref="A273:G273"/>
    <mergeCell ref="A274:G274"/>
    <mergeCell ref="F245:G245"/>
    <mergeCell ref="A244:D244"/>
    <mergeCell ref="B282:H282"/>
    <mergeCell ref="E284:G284"/>
    <mergeCell ref="A256:D256"/>
    <mergeCell ref="A284:C284"/>
    <mergeCell ref="F270:G270"/>
    <mergeCell ref="A262:G262"/>
    <mergeCell ref="A285:C285"/>
    <mergeCell ref="A286:C286"/>
    <mergeCell ref="A257:G257"/>
    <mergeCell ref="A258:G258"/>
    <mergeCell ref="E285:G285"/>
    <mergeCell ref="A270:D270"/>
    <mergeCell ref="A275:G275"/>
    <mergeCell ref="A261:G261"/>
    <mergeCell ref="F271:G271"/>
    <mergeCell ref="F272:G272"/>
    <mergeCell ref="D53:E53"/>
    <mergeCell ref="F47:H47"/>
    <mergeCell ref="F48:H48"/>
    <mergeCell ref="F51:H51"/>
    <mergeCell ref="F53:H53"/>
    <mergeCell ref="D47:E47"/>
    <mergeCell ref="A50:H50"/>
    <mergeCell ref="D48:E48"/>
    <mergeCell ref="A46:H46"/>
    <mergeCell ref="F49:H49"/>
    <mergeCell ref="A49:E49"/>
    <mergeCell ref="F359:H359"/>
    <mergeCell ref="A52:H52"/>
    <mergeCell ref="A54:E54"/>
    <mergeCell ref="A55:E55"/>
    <mergeCell ref="A56:E56"/>
    <mergeCell ref="F54:H54"/>
    <mergeCell ref="A294:D294"/>
    <mergeCell ref="A351:G351"/>
    <mergeCell ref="A346:H346"/>
    <mergeCell ref="A318:G318"/>
    <mergeCell ref="A319:G319"/>
    <mergeCell ref="A336:H336"/>
    <mergeCell ref="F294:G294"/>
    <mergeCell ref="F295:G295"/>
    <mergeCell ref="A337:G337"/>
    <mergeCell ref="A338:G338"/>
    <mergeCell ref="A320:G320"/>
    <mergeCell ref="A354:H354"/>
    <mergeCell ref="F356:H356"/>
    <mergeCell ref="F357:H357"/>
    <mergeCell ref="F358:H358"/>
    <mergeCell ref="A339:G339"/>
    <mergeCell ref="A322:G322"/>
    <mergeCell ref="B348:G348"/>
    <mergeCell ref="B349:G349"/>
    <mergeCell ref="B350:G350"/>
    <mergeCell ref="B347:G347"/>
    <mergeCell ref="A321:G321"/>
    <mergeCell ref="A297:G297"/>
    <mergeCell ref="A301:G301"/>
    <mergeCell ref="A305:H305"/>
    <mergeCell ref="A306:G306"/>
    <mergeCell ref="A307:G307"/>
    <mergeCell ref="B313:H313"/>
    <mergeCell ref="A308:G308"/>
    <mergeCell ref="A309:G309"/>
    <mergeCell ref="B299:H299"/>
    <mergeCell ref="A296:D296"/>
    <mergeCell ref="E286:G286"/>
    <mergeCell ref="A288:G288"/>
    <mergeCell ref="E287:G287"/>
    <mergeCell ref="B291:H291"/>
    <mergeCell ref="F296:G296"/>
    <mergeCell ref="A295:D295"/>
    <mergeCell ref="A287:C287"/>
    <mergeCell ref="A293:D293"/>
    <mergeCell ref="F293:G293"/>
    <mergeCell ref="B264:H264"/>
    <mergeCell ref="B113:H113"/>
    <mergeCell ref="B278:H278"/>
    <mergeCell ref="B266:H266"/>
    <mergeCell ref="B268:H268"/>
    <mergeCell ref="B143:H143"/>
    <mergeCell ref="B193:H193"/>
    <mergeCell ref="B201:H201"/>
    <mergeCell ref="B221:H221"/>
    <mergeCell ref="A276:G276"/>
    <mergeCell ref="B324:H324"/>
    <mergeCell ref="A333:G333"/>
    <mergeCell ref="A327:C327"/>
    <mergeCell ref="A326:C326"/>
    <mergeCell ref="D326:G326"/>
    <mergeCell ref="A331:C331"/>
    <mergeCell ref="D331:G331"/>
    <mergeCell ref="A332:C332"/>
    <mergeCell ref="D332:G332"/>
    <mergeCell ref="D327:G327"/>
    <mergeCell ref="A328:C328"/>
    <mergeCell ref="D328:G328"/>
    <mergeCell ref="A329:C329"/>
    <mergeCell ref="D329:G329"/>
    <mergeCell ref="A330:C330"/>
    <mergeCell ref="D330:G330"/>
  </mergeCells>
  <dataValidations count="8">
    <dataValidation type="list" allowBlank="1" showInputMessage="1" showErrorMessage="1" sqref="A319:G321">
      <formula1>tablica51f</formula1>
    </dataValidation>
    <dataValidation type="list" allowBlank="1" showInputMessage="1" showErrorMessage="1" sqref="A285:C287">
      <formula1>tablica441f</formula1>
    </dataValidation>
    <dataValidation type="list" allowBlank="1" showInputMessage="1" showErrorMessage="1" sqref="C204:D204 A196:B196">
      <formula1>tablica37f</formula1>
    </dataValidation>
    <dataValidation type="list" allowBlank="1" showInputMessage="1" showErrorMessage="1" sqref="B179:G181 B165:G167">
      <formula1>"Обективно няма възможност да води,0,'1-5,'6-10,Над 10"</formula1>
    </dataValidation>
    <dataValidation type="list" allowBlank="1" showInputMessage="1" showErrorMessage="1" sqref="A154:G154">
      <formula1>tablica33f</formula1>
    </dataValidation>
    <dataValidation type="list" allowBlank="1" showInputMessage="1" showErrorMessage="1" sqref="C128:G130 D120:G123 C121:C123 D127:G127 D134:F137 C135:C137 G84:G87 C68:D71">
      <formula1>"Да,Не"</formula1>
    </dataValidation>
    <dataValidation type="list" allowBlank="1" showInputMessage="1" showErrorMessage="1" sqref="F68:F71">
      <formula1>"ПБ,Б,М,M(Б)"</formula1>
    </dataValidation>
    <dataValidation type="list" allowBlank="1" showInputMessage="1" showErrorMessage="1" sqref="A327:A332 B328:B332">
      <formula1>tablica61f</formula1>
    </dataValidation>
  </dataValidations>
  <printOptions horizontalCentered="1"/>
  <pageMargins left="0.4724409448818898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4"/>
  <headerFooter differentFirst="1">
    <oddFooter>&amp;C- &amp;P -</oddFooter>
  </headerFooter>
  <rowBreaks count="6" manualBreakCount="6">
    <brk id="33" max="255" man="1"/>
    <brk id="78" max="255" man="1"/>
    <brk id="216" max="255" man="1"/>
    <brk id="250" max="255" man="1"/>
    <brk id="290" max="255" man="1"/>
    <brk id="34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9" sqref="A9:F29"/>
    </sheetView>
  </sheetViews>
  <sheetFormatPr defaultColWidth="9.140625" defaultRowHeight="15"/>
  <cols>
    <col min="1" max="1" width="44.28125" style="0" bestFit="1" customWidth="1"/>
    <col min="2" max="2" width="41.421875" style="0" bestFit="1" customWidth="1"/>
    <col min="3" max="3" width="29.421875" style="0" bestFit="1" customWidth="1"/>
    <col min="4" max="4" width="19.421875" style="0" customWidth="1"/>
    <col min="5" max="5" width="15.421875" style="0" customWidth="1"/>
  </cols>
  <sheetData>
    <row r="1" spans="1:3" ht="15">
      <c r="A1" t="s">
        <v>15</v>
      </c>
      <c r="B1" t="s">
        <v>16</v>
      </c>
      <c r="C1" t="s">
        <v>17</v>
      </c>
    </row>
    <row r="2" spans="1:3" ht="15">
      <c r="A2" t="s">
        <v>18</v>
      </c>
      <c r="B2" t="s">
        <v>19</v>
      </c>
      <c r="C2" t="s">
        <v>20</v>
      </c>
    </row>
    <row r="3" spans="1:3" ht="15">
      <c r="A3" t="s">
        <v>21</v>
      </c>
      <c r="B3" t="s">
        <v>22</v>
      </c>
      <c r="C3" t="s">
        <v>340</v>
      </c>
    </row>
    <row r="4" spans="1:3" ht="15">
      <c r="A4" t="s">
        <v>23</v>
      </c>
      <c r="B4" t="s">
        <v>24</v>
      </c>
      <c r="C4" t="s">
        <v>341</v>
      </c>
    </row>
    <row r="5" spans="1:3" ht="15">
      <c r="A5" t="s">
        <v>25</v>
      </c>
      <c r="B5" t="s">
        <v>26</v>
      </c>
      <c r="C5" t="s">
        <v>342</v>
      </c>
    </row>
    <row r="6" spans="1:3" ht="15">
      <c r="A6" t="s">
        <v>27</v>
      </c>
      <c r="B6" t="s">
        <v>28</v>
      </c>
      <c r="C6" t="s">
        <v>29</v>
      </c>
    </row>
    <row r="8" spans="1:6" ht="15">
      <c r="A8" t="s">
        <v>30</v>
      </c>
      <c r="B8" t="s">
        <v>15</v>
      </c>
      <c r="C8" t="s">
        <v>16</v>
      </c>
      <c r="D8" t="s">
        <v>31</v>
      </c>
      <c r="E8" t="s">
        <v>32</v>
      </c>
      <c r="F8" t="s">
        <v>33</v>
      </c>
    </row>
    <row r="9" spans="1:6" ht="15">
      <c r="A9">
        <v>1</v>
      </c>
      <c r="B9" t="s">
        <v>113</v>
      </c>
      <c r="C9" t="s">
        <v>34</v>
      </c>
      <c r="D9" t="s">
        <v>35</v>
      </c>
      <c r="E9" t="s">
        <v>19</v>
      </c>
      <c r="F9" t="s">
        <v>36</v>
      </c>
    </row>
    <row r="10" spans="1:6" ht="15">
      <c r="A10">
        <v>2</v>
      </c>
      <c r="B10" t="s">
        <v>114</v>
      </c>
      <c r="C10" t="s">
        <v>37</v>
      </c>
      <c r="D10" t="s">
        <v>35</v>
      </c>
      <c r="E10" t="s">
        <v>19</v>
      </c>
      <c r="F10" t="s">
        <v>38</v>
      </c>
    </row>
    <row r="11" spans="1:6" ht="15">
      <c r="A11">
        <v>3</v>
      </c>
      <c r="B11" t="s">
        <v>115</v>
      </c>
      <c r="C11" t="s">
        <v>39</v>
      </c>
      <c r="D11" t="s">
        <v>35</v>
      </c>
      <c r="E11" t="s">
        <v>19</v>
      </c>
      <c r="F11" t="s">
        <v>40</v>
      </c>
    </row>
    <row r="12" spans="1:6" ht="15">
      <c r="A12">
        <v>19</v>
      </c>
      <c r="B12" t="s">
        <v>126</v>
      </c>
      <c r="C12" t="s">
        <v>70</v>
      </c>
      <c r="D12" t="s">
        <v>35</v>
      </c>
      <c r="E12" t="s">
        <v>28</v>
      </c>
      <c r="F12" t="s">
        <v>71</v>
      </c>
    </row>
    <row r="13" spans="1:6" ht="15">
      <c r="A13">
        <v>4</v>
      </c>
      <c r="B13" t="s">
        <v>116</v>
      </c>
      <c r="C13" t="s">
        <v>41</v>
      </c>
      <c r="D13" t="s">
        <v>42</v>
      </c>
      <c r="E13" t="s">
        <v>22</v>
      </c>
      <c r="F13" t="s">
        <v>43</v>
      </c>
    </row>
    <row r="14" spans="1:6" ht="15">
      <c r="A14">
        <v>5</v>
      </c>
      <c r="B14" t="s">
        <v>343</v>
      </c>
      <c r="C14" t="s">
        <v>44</v>
      </c>
      <c r="D14" t="s">
        <v>42</v>
      </c>
      <c r="E14" t="s">
        <v>22</v>
      </c>
      <c r="F14" t="s">
        <v>45</v>
      </c>
    </row>
    <row r="15" spans="1:6" ht="15">
      <c r="A15">
        <v>7</v>
      </c>
      <c r="B15" t="s">
        <v>117</v>
      </c>
      <c r="C15" t="s">
        <v>46</v>
      </c>
      <c r="D15" t="s">
        <v>42</v>
      </c>
      <c r="E15" t="s">
        <v>22</v>
      </c>
      <c r="F15" t="s">
        <v>47</v>
      </c>
    </row>
    <row r="16" spans="1:6" ht="15">
      <c r="A16">
        <v>20</v>
      </c>
      <c r="B16" t="s">
        <v>344</v>
      </c>
      <c r="C16" t="s">
        <v>72</v>
      </c>
      <c r="D16" t="s">
        <v>42</v>
      </c>
      <c r="E16" t="s">
        <v>28</v>
      </c>
      <c r="F16" t="s">
        <v>73</v>
      </c>
    </row>
    <row r="17" spans="1:6" ht="15">
      <c r="A17">
        <v>8</v>
      </c>
      <c r="B17" t="s">
        <v>118</v>
      </c>
      <c r="C17" t="s">
        <v>48</v>
      </c>
      <c r="D17" t="s">
        <v>49</v>
      </c>
      <c r="E17" t="s">
        <v>24</v>
      </c>
      <c r="F17" t="s">
        <v>50</v>
      </c>
    </row>
    <row r="18" spans="1:6" ht="15">
      <c r="A18">
        <v>9</v>
      </c>
      <c r="B18" t="s">
        <v>119</v>
      </c>
      <c r="C18" t="s">
        <v>51</v>
      </c>
      <c r="D18" t="s">
        <v>49</v>
      </c>
      <c r="E18" t="s">
        <v>24</v>
      </c>
      <c r="F18" t="s">
        <v>52</v>
      </c>
    </row>
    <row r="19" spans="1:6" ht="15">
      <c r="A19">
        <v>10</v>
      </c>
      <c r="B19" t="s">
        <v>120</v>
      </c>
      <c r="C19" t="s">
        <v>53</v>
      </c>
      <c r="D19" t="s">
        <v>49</v>
      </c>
      <c r="E19" t="s">
        <v>24</v>
      </c>
      <c r="F19" t="s">
        <v>54</v>
      </c>
    </row>
    <row r="20" spans="1:6" ht="15">
      <c r="A20">
        <v>11</v>
      </c>
      <c r="B20" t="s">
        <v>121</v>
      </c>
      <c r="C20" t="s">
        <v>55</v>
      </c>
      <c r="D20" t="s">
        <v>49</v>
      </c>
      <c r="E20" t="s">
        <v>24</v>
      </c>
      <c r="F20" t="s">
        <v>56</v>
      </c>
    </row>
    <row r="21" spans="1:6" ht="15">
      <c r="A21">
        <v>12</v>
      </c>
      <c r="B21" t="s">
        <v>122</v>
      </c>
      <c r="C21" t="s">
        <v>57</v>
      </c>
      <c r="D21" t="s">
        <v>49</v>
      </c>
      <c r="E21" t="s">
        <v>24</v>
      </c>
      <c r="F21" t="s">
        <v>58</v>
      </c>
    </row>
    <row r="22" spans="1:6" ht="15">
      <c r="A22">
        <v>13</v>
      </c>
      <c r="B22" t="s">
        <v>123</v>
      </c>
      <c r="C22" t="s">
        <v>59</v>
      </c>
      <c r="D22" t="s">
        <v>60</v>
      </c>
      <c r="E22" t="s">
        <v>26</v>
      </c>
      <c r="F22" t="s">
        <v>61</v>
      </c>
    </row>
    <row r="23" spans="1:6" ht="15">
      <c r="A23">
        <v>14</v>
      </c>
      <c r="B23" t="s">
        <v>124</v>
      </c>
      <c r="C23" t="s">
        <v>62</v>
      </c>
      <c r="D23" t="s">
        <v>60</v>
      </c>
      <c r="E23" t="s">
        <v>26</v>
      </c>
      <c r="F23" t="s">
        <v>63</v>
      </c>
    </row>
    <row r="24" spans="1:6" ht="15">
      <c r="A24">
        <v>15</v>
      </c>
      <c r="B24" t="s">
        <v>380</v>
      </c>
      <c r="C24" t="s">
        <v>64</v>
      </c>
      <c r="D24" t="s">
        <v>60</v>
      </c>
      <c r="E24" t="s">
        <v>26</v>
      </c>
      <c r="F24" t="s">
        <v>65</v>
      </c>
    </row>
    <row r="25" spans="1:6" ht="15">
      <c r="A25">
        <v>16</v>
      </c>
      <c r="B25" t="s">
        <v>381</v>
      </c>
      <c r="C25" t="s">
        <v>382</v>
      </c>
      <c r="D25" t="s">
        <v>60</v>
      </c>
      <c r="E25" t="s">
        <v>26</v>
      </c>
      <c r="F25" t="s">
        <v>66</v>
      </c>
    </row>
    <row r="26" spans="1:6" ht="15">
      <c r="A26">
        <v>18</v>
      </c>
      <c r="B26" t="s">
        <v>383</v>
      </c>
      <c r="C26" t="s">
        <v>384</v>
      </c>
      <c r="D26" t="s">
        <v>60</v>
      </c>
      <c r="E26" t="s">
        <v>26</v>
      </c>
      <c r="F26" t="s">
        <v>385</v>
      </c>
    </row>
    <row r="27" spans="1:6" ht="15">
      <c r="A27">
        <v>19</v>
      </c>
      <c r="B27" t="s">
        <v>125</v>
      </c>
      <c r="C27" t="s">
        <v>67</v>
      </c>
      <c r="D27" t="s">
        <v>68</v>
      </c>
      <c r="E27" t="s">
        <v>28</v>
      </c>
      <c r="F27" t="s">
        <v>69</v>
      </c>
    </row>
    <row r="28" spans="1:6" ht="15">
      <c r="A28">
        <v>20</v>
      </c>
      <c r="B28" t="s">
        <v>126</v>
      </c>
      <c r="C28" t="s">
        <v>70</v>
      </c>
      <c r="D28" t="s">
        <v>68</v>
      </c>
      <c r="E28" t="s">
        <v>28</v>
      </c>
      <c r="F28" t="s">
        <v>71</v>
      </c>
    </row>
    <row r="29" spans="1:6" ht="15">
      <c r="A29">
        <v>21</v>
      </c>
      <c r="B29" t="s">
        <v>127</v>
      </c>
      <c r="C29" t="s">
        <v>72</v>
      </c>
      <c r="D29" t="s">
        <v>68</v>
      </c>
      <c r="E29" t="s">
        <v>28</v>
      </c>
      <c r="F29" t="s">
        <v>73</v>
      </c>
    </row>
    <row r="34" ht="15.75" thickBot="1">
      <c r="A34" s="5" t="s">
        <v>78</v>
      </c>
    </row>
    <row r="35" spans="1:2" ht="25.5">
      <c r="A35" s="9" t="s">
        <v>79</v>
      </c>
      <c r="B35" s="304" t="s">
        <v>14</v>
      </c>
    </row>
    <row r="36" spans="1:2" ht="15.75" thickBot="1">
      <c r="A36" s="10" t="s">
        <v>80</v>
      </c>
      <c r="B36" s="305"/>
    </row>
    <row r="37" spans="1:2" ht="15.75" thickBot="1">
      <c r="A37" s="10">
        <v>0</v>
      </c>
      <c r="B37" s="4">
        <v>2</v>
      </c>
    </row>
    <row r="38" spans="1:2" ht="15.75" thickBot="1">
      <c r="A38" s="13">
        <v>0.81</v>
      </c>
      <c r="B38" s="4">
        <v>4</v>
      </c>
    </row>
    <row r="39" spans="1:2" ht="15.75" thickBot="1">
      <c r="A39" s="13">
        <v>1</v>
      </c>
      <c r="B39" s="4">
        <v>6</v>
      </c>
    </row>
    <row r="40" spans="1:2" ht="15.75" thickBot="1">
      <c r="A40" s="13">
        <v>1.2</v>
      </c>
      <c r="B40" s="4">
        <v>8</v>
      </c>
    </row>
    <row r="42" ht="15">
      <c r="A42" s="5" t="s">
        <v>92</v>
      </c>
    </row>
    <row r="43" spans="1:2" ht="15">
      <c r="A43" t="s">
        <v>85</v>
      </c>
      <c r="B43" s="14">
        <v>0.8</v>
      </c>
    </row>
    <row r="44" spans="1:2" ht="15">
      <c r="A44" t="s">
        <v>84</v>
      </c>
      <c r="B44" s="14">
        <v>1</v>
      </c>
    </row>
    <row r="45" spans="1:2" ht="15">
      <c r="A45" t="s">
        <v>86</v>
      </c>
      <c r="B45" s="14">
        <v>1.5</v>
      </c>
    </row>
    <row r="46" spans="1:2" ht="15">
      <c r="A46" t="s">
        <v>87</v>
      </c>
      <c r="B46" s="14">
        <v>1</v>
      </c>
    </row>
    <row r="48" ht="16.5" thickBot="1">
      <c r="A48" s="20" t="s">
        <v>90</v>
      </c>
    </row>
    <row r="49" spans="1:2" ht="15.75" thickBot="1">
      <c r="A49" s="21" t="s">
        <v>91</v>
      </c>
      <c r="B49" s="8" t="s">
        <v>14</v>
      </c>
    </row>
    <row r="50" spans="1:2" ht="15.75" thickBot="1">
      <c r="A50" s="22">
        <v>0</v>
      </c>
      <c r="B50" s="4">
        <v>0</v>
      </c>
    </row>
    <row r="51" spans="1:2" ht="15.75" thickBot="1">
      <c r="A51" s="22">
        <v>1</v>
      </c>
      <c r="B51" s="4">
        <v>2</v>
      </c>
    </row>
    <row r="52" spans="1:2" ht="15.75" thickBot="1">
      <c r="A52" s="22">
        <v>21</v>
      </c>
      <c r="B52" s="4">
        <v>4</v>
      </c>
    </row>
    <row r="53" spans="1:2" ht="15.75" thickBot="1">
      <c r="A53" s="22">
        <v>51</v>
      </c>
      <c r="B53" s="4">
        <v>6</v>
      </c>
    </row>
    <row r="55" ht="15.75" thickBot="1">
      <c r="A55" t="s">
        <v>128</v>
      </c>
    </row>
    <row r="56" spans="1:2" ht="39.75" thickBot="1">
      <c r="A56" s="23" t="s">
        <v>97</v>
      </c>
      <c r="B56" s="25">
        <v>4</v>
      </c>
    </row>
    <row r="57" spans="1:2" ht="40.5" thickBot="1">
      <c r="A57" s="24" t="s">
        <v>98</v>
      </c>
      <c r="B57" s="26">
        <v>5</v>
      </c>
    </row>
    <row r="58" spans="1:2" ht="27.75" thickBot="1">
      <c r="A58" s="24" t="s">
        <v>99</v>
      </c>
      <c r="B58" s="26">
        <v>5.5</v>
      </c>
    </row>
    <row r="59" spans="1:2" ht="41.25" thickBot="1">
      <c r="A59" s="24" t="s">
        <v>100</v>
      </c>
      <c r="B59" s="26">
        <v>6</v>
      </c>
    </row>
    <row r="61" ht="15.75" thickBot="1"/>
    <row r="62" spans="1:2" ht="15">
      <c r="A62" s="11" t="s">
        <v>105</v>
      </c>
      <c r="B62" s="304" t="s">
        <v>14</v>
      </c>
    </row>
    <row r="63" spans="1:2" ht="15.75" thickBot="1">
      <c r="A63" s="12" t="s">
        <v>106</v>
      </c>
      <c r="B63" s="305"/>
    </row>
    <row r="64" spans="1:2" ht="17.25" customHeight="1" thickBot="1">
      <c r="A64" s="3" t="s">
        <v>104</v>
      </c>
      <c r="B64" s="4">
        <v>0</v>
      </c>
    </row>
    <row r="65" spans="1:2" ht="15.75" thickBot="1">
      <c r="A65" s="3">
        <v>0</v>
      </c>
      <c r="B65" s="4">
        <v>0</v>
      </c>
    </row>
    <row r="66" spans="1:2" ht="15.75" thickBot="1">
      <c r="A66" s="28" t="s">
        <v>108</v>
      </c>
      <c r="B66" s="4">
        <v>2</v>
      </c>
    </row>
    <row r="67" spans="1:2" ht="15.75" thickBot="1">
      <c r="A67" s="28" t="s">
        <v>109</v>
      </c>
      <c r="B67" s="4">
        <v>4</v>
      </c>
    </row>
    <row r="68" spans="1:2" ht="15.75" thickBot="1">
      <c r="A68" s="3" t="s">
        <v>107</v>
      </c>
      <c r="B68" s="4">
        <v>6</v>
      </c>
    </row>
    <row r="69" spans="1:2" ht="15">
      <c r="A69" s="33"/>
      <c r="B69" s="34"/>
    </row>
    <row r="70" ht="15.75" thickBot="1">
      <c r="A70" s="35" t="s">
        <v>137</v>
      </c>
    </row>
    <row r="71" spans="1:2" ht="15">
      <c r="A71" s="17" t="s">
        <v>134</v>
      </c>
      <c r="B71" s="304" t="s">
        <v>14</v>
      </c>
    </row>
    <row r="72" spans="1:2" ht="15.75" thickBot="1">
      <c r="A72" s="18" t="s">
        <v>136</v>
      </c>
      <c r="B72" s="305"/>
    </row>
    <row r="73" spans="1:2" ht="15.75" thickBot="1">
      <c r="A73" s="36">
        <v>0</v>
      </c>
      <c r="B73" s="37">
        <v>0</v>
      </c>
    </row>
    <row r="74" spans="1:2" ht="15.75" thickBot="1">
      <c r="A74" s="13">
        <v>0.06</v>
      </c>
      <c r="B74" s="4">
        <v>6</v>
      </c>
    </row>
    <row r="75" spans="1:2" ht="15.75" thickBot="1">
      <c r="A75" s="13">
        <v>0.11</v>
      </c>
      <c r="B75" s="4">
        <v>8</v>
      </c>
    </row>
    <row r="76" spans="1:2" ht="15.75" thickBot="1">
      <c r="A76" s="13">
        <v>0.21</v>
      </c>
      <c r="B76" s="4">
        <v>10</v>
      </c>
    </row>
    <row r="78" ht="15.75" thickBot="1"/>
    <row r="79" spans="1:2" ht="15.75" thickBot="1">
      <c r="A79" s="21" t="s">
        <v>138</v>
      </c>
      <c r="B79" s="16" t="s">
        <v>14</v>
      </c>
    </row>
    <row r="80" spans="1:2" ht="15.75" thickBot="1">
      <c r="A80" s="1" t="s">
        <v>139</v>
      </c>
      <c r="B80" s="4">
        <v>0</v>
      </c>
    </row>
    <row r="81" spans="1:2" ht="15.75" thickBot="1">
      <c r="A81" s="1" t="s">
        <v>140</v>
      </c>
      <c r="B81" s="4">
        <v>2</v>
      </c>
    </row>
    <row r="82" spans="1:2" ht="15.75" thickBot="1">
      <c r="A82" s="1" t="s">
        <v>141</v>
      </c>
      <c r="B82" s="4">
        <v>4</v>
      </c>
    </row>
    <row r="83" spans="1:2" ht="15.75" thickBot="1">
      <c r="A83" s="1" t="s">
        <v>142</v>
      </c>
      <c r="B83" s="4">
        <v>6</v>
      </c>
    </row>
    <row r="84" spans="1:2" ht="15">
      <c r="A84" s="138" t="s">
        <v>339</v>
      </c>
      <c r="B84">
        <v>0</v>
      </c>
    </row>
    <row r="85" ht="15.75" thickBot="1"/>
    <row r="86" spans="1:2" ht="15.75" thickBot="1">
      <c r="A86" s="39" t="s">
        <v>149</v>
      </c>
      <c r="B86" s="40">
        <v>1</v>
      </c>
    </row>
    <row r="87" spans="1:2" ht="15.75" thickBot="1">
      <c r="A87" s="38" t="s">
        <v>150</v>
      </c>
      <c r="B87" s="4">
        <v>1</v>
      </c>
    </row>
    <row r="88" spans="1:2" ht="26.25" thickBot="1">
      <c r="A88" s="38" t="s">
        <v>151</v>
      </c>
      <c r="B88" s="4">
        <v>1.4</v>
      </c>
    </row>
    <row r="90" ht="15.75" thickBot="1"/>
    <row r="91" spans="1:3" ht="15.75" thickBot="1">
      <c r="A91" s="39" t="s">
        <v>160</v>
      </c>
      <c r="B91" s="40">
        <v>1</v>
      </c>
      <c r="C91" s="25">
        <v>0.5</v>
      </c>
    </row>
    <row r="92" spans="1:3" ht="15.75" thickBot="1">
      <c r="A92" s="38" t="s">
        <v>161</v>
      </c>
      <c r="B92" s="4">
        <v>1.5</v>
      </c>
      <c r="C92" s="26">
        <v>0.75</v>
      </c>
    </row>
    <row r="93" spans="1:3" ht="15.75" thickBot="1">
      <c r="A93" s="38" t="s">
        <v>162</v>
      </c>
      <c r="B93" s="4">
        <v>2</v>
      </c>
      <c r="C93" s="26">
        <v>1</v>
      </c>
    </row>
    <row r="94" ht="15.75" thickBot="1"/>
    <row r="95" spans="1:2" ht="15.75" thickBot="1">
      <c r="A95" s="43" t="s">
        <v>169</v>
      </c>
      <c r="B95" s="40">
        <v>8</v>
      </c>
    </row>
    <row r="96" spans="1:2" ht="15.75" thickBot="1">
      <c r="A96" s="42" t="s">
        <v>170</v>
      </c>
      <c r="B96" s="4">
        <v>5</v>
      </c>
    </row>
    <row r="97" spans="1:2" ht="15.75" thickBot="1">
      <c r="A97" s="42" t="s">
        <v>175</v>
      </c>
      <c r="B97" s="4">
        <v>3</v>
      </c>
    </row>
    <row r="98" spans="1:2" ht="15.75" thickBot="1">
      <c r="A98" s="42" t="s">
        <v>174</v>
      </c>
      <c r="B98" s="4">
        <v>3</v>
      </c>
    </row>
    <row r="99" spans="1:2" ht="15.75" thickBot="1">
      <c r="A99" s="42" t="s">
        <v>171</v>
      </c>
      <c r="B99" s="4">
        <v>2</v>
      </c>
    </row>
    <row r="100" spans="1:2" ht="15.75" thickBot="1">
      <c r="A100" s="42" t="s">
        <v>173</v>
      </c>
      <c r="B100" s="4">
        <v>8</v>
      </c>
    </row>
    <row r="101" spans="1:2" ht="15.75" thickBot="1">
      <c r="A101" s="42" t="s">
        <v>172</v>
      </c>
      <c r="B101" s="4">
        <v>4</v>
      </c>
    </row>
    <row r="102" spans="1:2" ht="15">
      <c r="A102" s="77" t="s">
        <v>237</v>
      </c>
      <c r="B102" s="78">
        <v>0</v>
      </c>
    </row>
    <row r="103" ht="15.75" thickBot="1"/>
    <row r="104" spans="1:2" ht="26.25" thickBot="1">
      <c r="A104" s="39" t="s">
        <v>178</v>
      </c>
      <c r="B104" s="40">
        <v>6</v>
      </c>
    </row>
    <row r="105" spans="1:2" ht="26.25" thickBot="1">
      <c r="A105" s="38" t="s">
        <v>351</v>
      </c>
      <c r="B105" s="4">
        <v>3</v>
      </c>
    </row>
    <row r="106" spans="1:2" ht="26.25" thickBot="1">
      <c r="A106" s="38" t="s">
        <v>352</v>
      </c>
      <c r="B106" s="4">
        <v>0</v>
      </c>
    </row>
    <row r="108" ht="15.75" thickBot="1"/>
    <row r="109" spans="1:3" ht="26.25" thickBot="1">
      <c r="A109" s="39" t="s">
        <v>184</v>
      </c>
      <c r="B109" s="25">
        <v>1</v>
      </c>
      <c r="C109">
        <v>1</v>
      </c>
    </row>
    <row r="110" spans="1:3" ht="26.25" thickBot="1">
      <c r="A110" s="38" t="s">
        <v>185</v>
      </c>
      <c r="B110" s="26">
        <v>1</v>
      </c>
      <c r="C110">
        <v>1</v>
      </c>
    </row>
    <row r="111" spans="1:3" ht="26.25" thickBot="1">
      <c r="A111" s="38" t="s">
        <v>212</v>
      </c>
      <c r="B111" s="26">
        <v>1.2</v>
      </c>
      <c r="C111">
        <v>1</v>
      </c>
    </row>
    <row r="112" spans="1:3" ht="26.25" thickBot="1">
      <c r="A112" s="38" t="s">
        <v>213</v>
      </c>
      <c r="B112" s="26">
        <v>1</v>
      </c>
      <c r="C112">
        <v>1</v>
      </c>
    </row>
    <row r="113" spans="1:3" ht="26.25" thickBot="1">
      <c r="A113" s="38" t="s">
        <v>214</v>
      </c>
      <c r="B113" s="26">
        <v>0.9</v>
      </c>
      <c r="C113">
        <v>1</v>
      </c>
    </row>
    <row r="114" spans="1:3" ht="39" thickBot="1">
      <c r="A114" s="38" t="s">
        <v>186</v>
      </c>
      <c r="B114" s="26">
        <v>0.8</v>
      </c>
      <c r="C114">
        <v>1</v>
      </c>
    </row>
    <row r="115" spans="1:3" ht="26.25" thickBot="1">
      <c r="A115" s="38" t="s">
        <v>187</v>
      </c>
      <c r="B115" s="26">
        <v>0.7</v>
      </c>
      <c r="C115">
        <v>1</v>
      </c>
    </row>
    <row r="116" spans="1:3" ht="26.25" thickBot="1">
      <c r="A116" s="38" t="s">
        <v>151</v>
      </c>
      <c r="B116" s="26">
        <v>1</v>
      </c>
      <c r="C116">
        <v>1.4</v>
      </c>
    </row>
    <row r="117" ht="15.75" thickBot="1"/>
    <row r="118" spans="4:5" ht="15.75" thickBot="1">
      <c r="D118" s="142" t="s">
        <v>189</v>
      </c>
      <c r="E118" s="143">
        <v>4</v>
      </c>
    </row>
    <row r="119" spans="1:5" ht="18.75" thickBot="1">
      <c r="A119" s="142" t="s">
        <v>189</v>
      </c>
      <c r="B119" s="143">
        <v>4</v>
      </c>
      <c r="C119" s="44"/>
      <c r="D119" s="144" t="s">
        <v>353</v>
      </c>
      <c r="E119" s="145">
        <v>3.5</v>
      </c>
    </row>
    <row r="120" spans="1:5" ht="64.5" thickBot="1">
      <c r="A120" s="144" t="s">
        <v>353</v>
      </c>
      <c r="B120" s="145">
        <v>3.5</v>
      </c>
      <c r="C120" s="44"/>
      <c r="D120" s="144" t="s">
        <v>354</v>
      </c>
      <c r="E120" s="145">
        <v>3</v>
      </c>
    </row>
    <row r="121" spans="1:5" ht="26.25" thickBot="1">
      <c r="A121" s="144" t="s">
        <v>354</v>
      </c>
      <c r="B121" s="145">
        <v>3</v>
      </c>
      <c r="C121" s="44"/>
      <c r="D121" s="144" t="s">
        <v>190</v>
      </c>
      <c r="E121" s="145">
        <v>2.5</v>
      </c>
    </row>
    <row r="122" spans="1:5" ht="51.75" thickBot="1">
      <c r="A122" s="144" t="s">
        <v>190</v>
      </c>
      <c r="B122" s="145">
        <v>2.5</v>
      </c>
      <c r="C122" s="44"/>
      <c r="D122" s="144" t="s">
        <v>355</v>
      </c>
      <c r="E122" s="145">
        <v>1.5</v>
      </c>
    </row>
    <row r="123" spans="1:5" ht="64.5" thickBot="1">
      <c r="A123" s="144" t="s">
        <v>355</v>
      </c>
      <c r="B123" s="145">
        <v>1.5</v>
      </c>
      <c r="C123" s="44"/>
      <c r="D123" s="144" t="s">
        <v>356</v>
      </c>
      <c r="E123" s="145">
        <v>1</v>
      </c>
    </row>
    <row r="124" spans="1:5" ht="26.25" thickBot="1">
      <c r="A124" s="144" t="s">
        <v>356</v>
      </c>
      <c r="B124" s="145">
        <v>1</v>
      </c>
      <c r="C124" s="44"/>
      <c r="D124" s="142" t="s">
        <v>191</v>
      </c>
      <c r="E124" s="146">
        <v>3</v>
      </c>
    </row>
    <row r="125" spans="1:5" ht="39" thickBot="1">
      <c r="A125" s="142" t="s">
        <v>191</v>
      </c>
      <c r="B125" s="146">
        <v>3</v>
      </c>
      <c r="C125" s="45"/>
      <c r="D125" s="144" t="s">
        <v>357</v>
      </c>
      <c r="E125" s="147">
        <v>2.5</v>
      </c>
    </row>
    <row r="126" spans="1:5" ht="51.75" thickBot="1">
      <c r="A126" s="144" t="s">
        <v>357</v>
      </c>
      <c r="B126" s="147">
        <v>2.5</v>
      </c>
      <c r="C126" s="44"/>
      <c r="D126" s="144" t="s">
        <v>346</v>
      </c>
      <c r="E126" s="147">
        <v>2.5</v>
      </c>
    </row>
    <row r="127" spans="1:5" ht="64.5" thickBot="1">
      <c r="A127" s="144" t="s">
        <v>346</v>
      </c>
      <c r="B127" s="147">
        <v>2.5</v>
      </c>
      <c r="C127" s="44"/>
      <c r="D127" s="144" t="s">
        <v>358</v>
      </c>
      <c r="E127" s="147">
        <v>2</v>
      </c>
    </row>
    <row r="128" spans="1:5" ht="26.25" thickBot="1">
      <c r="A128" s="144" t="s">
        <v>358</v>
      </c>
      <c r="B128" s="147">
        <v>2</v>
      </c>
      <c r="C128" s="44"/>
      <c r="D128" s="144" t="s">
        <v>192</v>
      </c>
      <c r="E128" s="147">
        <v>2</v>
      </c>
    </row>
    <row r="129" spans="1:5" ht="39" thickBot="1">
      <c r="A129" s="144" t="s">
        <v>192</v>
      </c>
      <c r="B129" s="147">
        <v>2</v>
      </c>
      <c r="C129" s="44"/>
      <c r="D129" s="144" t="s">
        <v>359</v>
      </c>
      <c r="E129" s="147">
        <v>2</v>
      </c>
    </row>
    <row r="130" spans="1:5" ht="26.25" thickBot="1">
      <c r="A130" s="144" t="s">
        <v>359</v>
      </c>
      <c r="B130" s="147">
        <v>2</v>
      </c>
      <c r="C130" s="44"/>
      <c r="D130" s="144" t="s">
        <v>193</v>
      </c>
      <c r="E130" s="147">
        <v>2</v>
      </c>
    </row>
    <row r="131" spans="1:5" ht="26.25" thickBot="1">
      <c r="A131" s="144" t="s">
        <v>193</v>
      </c>
      <c r="B131" s="147">
        <v>2</v>
      </c>
      <c r="C131" s="44"/>
      <c r="D131" s="144" t="s">
        <v>360</v>
      </c>
      <c r="E131" s="147">
        <v>2</v>
      </c>
    </row>
    <row r="132" spans="1:5" ht="26.25" thickBot="1">
      <c r="A132" s="144" t="s">
        <v>360</v>
      </c>
      <c r="B132" s="147">
        <v>2</v>
      </c>
      <c r="C132" s="44"/>
      <c r="D132" s="144" t="s">
        <v>194</v>
      </c>
      <c r="E132" s="147">
        <v>1.5</v>
      </c>
    </row>
    <row r="133" spans="1:5" ht="26.25" thickBot="1">
      <c r="A133" s="144" t="s">
        <v>194</v>
      </c>
      <c r="B133" s="147">
        <v>1.5</v>
      </c>
      <c r="C133" s="44"/>
      <c r="D133" s="144" t="s">
        <v>195</v>
      </c>
      <c r="E133" s="147">
        <v>1.5</v>
      </c>
    </row>
    <row r="134" spans="1:5" ht="26.25" thickBot="1">
      <c r="A134" s="144" t="s">
        <v>195</v>
      </c>
      <c r="B134" s="147">
        <v>1.5</v>
      </c>
      <c r="C134" s="44"/>
      <c r="D134" s="144" t="s">
        <v>361</v>
      </c>
      <c r="E134" s="147">
        <v>1</v>
      </c>
    </row>
    <row r="135" spans="1:5" ht="26.25" thickBot="1">
      <c r="A135" s="144" t="s">
        <v>361</v>
      </c>
      <c r="B135" s="147">
        <v>1</v>
      </c>
      <c r="C135" s="44"/>
      <c r="D135" s="144" t="s">
        <v>362</v>
      </c>
      <c r="E135" s="147">
        <v>1</v>
      </c>
    </row>
    <row r="136" spans="1:5" ht="26.25" thickBot="1">
      <c r="A136" s="144" t="s">
        <v>362</v>
      </c>
      <c r="B136" s="147">
        <v>1</v>
      </c>
      <c r="C136" s="45"/>
      <c r="D136" s="144" t="s">
        <v>196</v>
      </c>
      <c r="E136" s="147">
        <v>1</v>
      </c>
    </row>
    <row r="137" spans="1:5" ht="39" thickBot="1">
      <c r="A137" s="144" t="s">
        <v>196</v>
      </c>
      <c r="B137" s="147">
        <v>1</v>
      </c>
      <c r="C137" s="44"/>
      <c r="D137" s="144" t="s">
        <v>347</v>
      </c>
      <c r="E137" s="147">
        <v>1</v>
      </c>
    </row>
    <row r="138" spans="1:5" ht="39" thickBot="1">
      <c r="A138" s="144" t="s">
        <v>347</v>
      </c>
      <c r="B138" s="147">
        <v>1</v>
      </c>
      <c r="C138" s="44"/>
      <c r="D138" s="144" t="s">
        <v>363</v>
      </c>
      <c r="E138" s="147">
        <v>1</v>
      </c>
    </row>
    <row r="139" spans="1:5" ht="26.25" thickBot="1">
      <c r="A139" s="144" t="s">
        <v>363</v>
      </c>
      <c r="B139" s="147">
        <v>1</v>
      </c>
      <c r="C139" s="44"/>
      <c r="D139" s="144" t="s">
        <v>197</v>
      </c>
      <c r="E139" s="147">
        <v>1</v>
      </c>
    </row>
    <row r="140" spans="1:5" ht="64.5" thickBot="1">
      <c r="A140" s="144" t="s">
        <v>197</v>
      </c>
      <c r="B140" s="147">
        <v>1</v>
      </c>
      <c r="C140" s="44"/>
      <c r="D140" s="144" t="s">
        <v>364</v>
      </c>
      <c r="E140" s="147">
        <v>1</v>
      </c>
    </row>
    <row r="141" spans="1:5" ht="51.75" thickBot="1">
      <c r="A141" s="144" t="s">
        <v>364</v>
      </c>
      <c r="B141" s="147">
        <v>1</v>
      </c>
      <c r="C141" s="44"/>
      <c r="D141" s="144" t="s">
        <v>365</v>
      </c>
      <c r="E141" s="147">
        <v>1</v>
      </c>
    </row>
    <row r="142" spans="1:5" ht="39" thickBot="1">
      <c r="A142" s="144" t="s">
        <v>365</v>
      </c>
      <c r="B142" s="147">
        <v>1</v>
      </c>
      <c r="D142" s="144" t="s">
        <v>348</v>
      </c>
      <c r="E142" s="147">
        <v>1</v>
      </c>
    </row>
    <row r="143" spans="1:5" ht="26.25" thickBot="1">
      <c r="A143" s="144" t="s">
        <v>348</v>
      </c>
      <c r="B143" s="147">
        <v>1</v>
      </c>
      <c r="D143" s="142" t="s">
        <v>349</v>
      </c>
      <c r="E143" s="146">
        <v>3</v>
      </c>
    </row>
    <row r="144" spans="1:5" ht="39" thickBot="1">
      <c r="A144" s="142" t="s">
        <v>349</v>
      </c>
      <c r="B144" s="146">
        <v>3</v>
      </c>
      <c r="D144" s="144" t="s">
        <v>350</v>
      </c>
      <c r="E144" s="147">
        <v>2</v>
      </c>
    </row>
    <row r="145" spans="1:5" ht="39" thickBot="1">
      <c r="A145" s="144" t="s">
        <v>350</v>
      </c>
      <c r="B145" s="147">
        <v>2</v>
      </c>
      <c r="D145" s="144" t="s">
        <v>366</v>
      </c>
      <c r="E145" s="147">
        <v>2</v>
      </c>
    </row>
    <row r="146" spans="1:5" ht="39" thickBot="1">
      <c r="A146" s="144" t="s">
        <v>366</v>
      </c>
      <c r="B146" s="147">
        <v>2</v>
      </c>
      <c r="D146" s="144" t="s">
        <v>367</v>
      </c>
      <c r="E146" s="147">
        <v>2</v>
      </c>
    </row>
    <row r="147" spans="1:5" ht="51.75" thickBot="1">
      <c r="A147" s="144" t="s">
        <v>367</v>
      </c>
      <c r="B147" s="147">
        <v>2</v>
      </c>
      <c r="D147" s="144" t="s">
        <v>368</v>
      </c>
      <c r="E147" s="147">
        <v>1.5</v>
      </c>
    </row>
    <row r="148" spans="1:2" ht="26.25" thickBot="1">
      <c r="A148" s="144" t="s">
        <v>368</v>
      </c>
      <c r="B148" s="147">
        <v>1.5</v>
      </c>
    </row>
    <row r="149" ht="15.75" thickBot="1"/>
    <row r="150" spans="1:2" ht="15.75" thickBot="1">
      <c r="A150" s="142" t="s">
        <v>373</v>
      </c>
      <c r="B150" s="143">
        <v>0.5</v>
      </c>
    </row>
    <row r="151" spans="1:2" ht="15.75" thickBot="1">
      <c r="A151" s="144" t="s">
        <v>369</v>
      </c>
      <c r="B151" s="145">
        <v>0.5</v>
      </c>
    </row>
    <row r="152" spans="1:2" ht="15.75" thickBot="1">
      <c r="A152" s="144" t="s">
        <v>370</v>
      </c>
      <c r="B152" s="145">
        <v>1</v>
      </c>
    </row>
    <row r="153" spans="1:2" ht="15">
      <c r="A153" s="148" t="s">
        <v>379</v>
      </c>
      <c r="B153" s="14">
        <v>1.5</v>
      </c>
    </row>
  </sheetData>
  <sheetProtection/>
  <mergeCells count="3">
    <mergeCell ref="B35:B36"/>
    <mergeCell ref="B62:B63"/>
    <mergeCell ref="B71:B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Y. Kuznetsov</cp:lastModifiedBy>
  <cp:lastPrinted>2010-10-29T11:10:24Z</cp:lastPrinted>
  <dcterms:created xsi:type="dcterms:W3CDTF">2010-10-12T12:37:27Z</dcterms:created>
  <dcterms:modified xsi:type="dcterms:W3CDTF">2020-02-25T08:49:22Z</dcterms:modified>
  <cp:category/>
  <cp:version/>
  <cp:contentType/>
  <cp:contentStatus/>
</cp:coreProperties>
</file>